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1- RANP 881_2022_PUBLICAÇAO SITE\VIGENTE\Historico-de-movimentacoes\"/>
    </mc:Choice>
  </mc:AlternateContent>
  <xr:revisionPtr revIDLastSave="0" documentId="13_ncr:1_{583AF86D-842D-4313-AF11-F8BB62FA0F21}" xr6:coauthVersionLast="47" xr6:coauthVersionMax="47" xr10:uidLastSave="{00000000-0000-0000-0000-000000000000}"/>
  <bookViews>
    <workbookView xWindow="-120" yWindow="-120" windowWidth="20730" windowHeight="11040" activeTab="1" xr2:uid="{3542D265-21EC-47E6-BE48-8452E441BD42}"/>
  </bookViews>
  <sheets>
    <sheet name="Metadados" sheetId="1" r:id="rId1"/>
    <sheet name="Dados" sheetId="2" r:id="rId2"/>
  </sheets>
  <definedNames>
    <definedName name="_xlnm._FilterDatabase" localSheetId="1" hidden="1">Dados!$A$3:$L$653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53" i="2" l="1"/>
  <c r="K652" i="2"/>
  <c r="K651" i="2"/>
  <c r="K650" i="2"/>
  <c r="K649" i="2"/>
  <c r="K648" i="2"/>
  <c r="K647" i="2"/>
  <c r="K646" i="2"/>
  <c r="K645" i="2"/>
  <c r="K644" i="2"/>
  <c r="K643" i="2"/>
  <c r="K642" i="2"/>
  <c r="K641" i="2"/>
  <c r="K640" i="2"/>
  <c r="K639" i="2"/>
  <c r="K638" i="2"/>
  <c r="K637" i="2"/>
  <c r="K636" i="2"/>
  <c r="K635" i="2"/>
  <c r="K634" i="2"/>
  <c r="K633" i="2"/>
  <c r="K632" i="2"/>
  <c r="K631" i="2"/>
  <c r="K630" i="2"/>
  <c r="K629" i="2"/>
  <c r="K628" i="2"/>
  <c r="K627" i="2"/>
  <c r="K626" i="2"/>
  <c r="K625" i="2"/>
  <c r="K624" i="2" l="1"/>
  <c r="K623" i="2"/>
  <c r="K622" i="2"/>
  <c r="K621" i="2"/>
  <c r="K620" i="2"/>
  <c r="K619" i="2"/>
  <c r="K618" i="2"/>
  <c r="K617" i="2"/>
  <c r="K616" i="2"/>
  <c r="K615" i="2"/>
  <c r="K614" i="2"/>
  <c r="K613" i="2"/>
  <c r="K612" i="2"/>
  <c r="K611" i="2"/>
  <c r="K610" i="2"/>
  <c r="K609" i="2"/>
  <c r="K608" i="2"/>
  <c r="K607" i="2"/>
  <c r="K606" i="2"/>
  <c r="K605" i="2"/>
  <c r="K604" i="2"/>
  <c r="K603" i="2"/>
  <c r="K602" i="2"/>
  <c r="K601" i="2"/>
  <c r="K600" i="2"/>
  <c r="K599" i="2"/>
  <c r="K598" i="2"/>
  <c r="K597" i="2"/>
  <c r="K596" i="2"/>
  <c r="K595" i="2"/>
  <c r="K594" i="2"/>
  <c r="K593" i="2"/>
  <c r="K592" i="2"/>
  <c r="K591" i="2"/>
  <c r="K590" i="2"/>
  <c r="K589" i="2"/>
  <c r="K588" i="2"/>
  <c r="K587" i="2"/>
  <c r="K586" i="2"/>
  <c r="K585" i="2"/>
  <c r="K584" i="2"/>
  <c r="K583" i="2"/>
  <c r="K582" i="2"/>
  <c r="K581" i="2"/>
  <c r="K580" i="2"/>
  <c r="K579" i="2"/>
  <c r="K578" i="2"/>
  <c r="K577" i="2"/>
  <c r="K576" i="2"/>
  <c r="K575" i="2"/>
  <c r="K574" i="2"/>
  <c r="K573" i="2"/>
  <c r="K572" i="2"/>
  <c r="K571" i="2"/>
  <c r="K570" i="2"/>
  <c r="K569" i="2"/>
  <c r="K568" i="2"/>
  <c r="K567" i="2"/>
  <c r="K566" i="2"/>
  <c r="K565" i="2"/>
  <c r="K564" i="2"/>
  <c r="K563" i="2"/>
  <c r="K562" i="2"/>
  <c r="K561" i="2"/>
  <c r="K560" i="2"/>
  <c r="K559" i="2"/>
  <c r="K558" i="2"/>
  <c r="K557" i="2"/>
  <c r="K556" i="2"/>
  <c r="K555" i="2"/>
  <c r="K554" i="2"/>
  <c r="K553" i="2"/>
  <c r="K552" i="2"/>
  <c r="K551" i="2"/>
  <c r="K550" i="2"/>
  <c r="K549" i="2"/>
  <c r="K548" i="2"/>
  <c r="K547" i="2"/>
  <c r="K546" i="2"/>
  <c r="K545" i="2"/>
  <c r="K544" i="2"/>
  <c r="K543" i="2"/>
  <c r="K542" i="2"/>
  <c r="K541" i="2"/>
  <c r="K540" i="2"/>
  <c r="K539" i="2"/>
  <c r="K538" i="2"/>
  <c r="K537" i="2"/>
  <c r="K536" i="2"/>
  <c r="K535" i="2"/>
  <c r="K534" i="2"/>
  <c r="K533" i="2"/>
  <c r="K532" i="2"/>
  <c r="K531" i="2"/>
  <c r="K530" i="2"/>
  <c r="K529" i="2"/>
  <c r="K528" i="2"/>
  <c r="K527" i="2"/>
  <c r="K526" i="2"/>
  <c r="K525" i="2"/>
  <c r="K524" i="2"/>
  <c r="K523" i="2"/>
  <c r="K522" i="2"/>
  <c r="K521" i="2"/>
  <c r="K520" i="2"/>
  <c r="K519" i="2"/>
  <c r="K518" i="2"/>
  <c r="K517" i="2"/>
  <c r="K516" i="2"/>
  <c r="K515" i="2"/>
  <c r="K514" i="2"/>
  <c r="K513" i="2"/>
  <c r="K512" i="2"/>
  <c r="K511" i="2"/>
  <c r="K510" i="2"/>
  <c r="K509" i="2"/>
  <c r="K508" i="2"/>
  <c r="K507" i="2"/>
  <c r="K506" i="2"/>
  <c r="K505" i="2"/>
  <c r="K504" i="2"/>
  <c r="K503" i="2"/>
  <c r="K502" i="2"/>
  <c r="K501" i="2"/>
  <c r="K500" i="2"/>
  <c r="K499" i="2"/>
  <c r="K498" i="2"/>
  <c r="K497" i="2"/>
  <c r="K496" i="2"/>
  <c r="K495" i="2"/>
  <c r="K494" i="2"/>
  <c r="K493" i="2"/>
  <c r="K492" i="2"/>
  <c r="K491" i="2"/>
  <c r="K490" i="2"/>
  <c r="K489" i="2"/>
  <c r="K488" i="2"/>
  <c r="K487" i="2"/>
  <c r="K486" i="2"/>
  <c r="K485" i="2"/>
  <c r="K484" i="2"/>
  <c r="K483" i="2"/>
  <c r="K482" i="2"/>
  <c r="K481" i="2"/>
  <c r="K480" i="2"/>
  <c r="K479" i="2"/>
  <c r="K478" i="2"/>
  <c r="K477" i="2"/>
  <c r="K476" i="2"/>
  <c r="K475" i="2"/>
  <c r="K474" i="2"/>
  <c r="K473" i="2"/>
  <c r="K472" i="2"/>
  <c r="K471" i="2"/>
  <c r="K470" i="2"/>
  <c r="K469" i="2"/>
  <c r="K468" i="2"/>
  <c r="K467" i="2"/>
  <c r="K466" i="2"/>
  <c r="K465" i="2"/>
  <c r="K464" i="2"/>
  <c r="K463" i="2"/>
  <c r="K462" i="2"/>
  <c r="K461" i="2"/>
  <c r="K460" i="2"/>
  <c r="K459" i="2"/>
  <c r="K458" i="2"/>
  <c r="K457" i="2"/>
  <c r="K456" i="2"/>
  <c r="K455" i="2"/>
  <c r="K454" i="2"/>
  <c r="K453" i="2"/>
  <c r="K452" i="2"/>
  <c r="K451" i="2"/>
  <c r="K450" i="2"/>
  <c r="K449" i="2"/>
  <c r="K448" i="2"/>
  <c r="K447" i="2"/>
  <c r="K446" i="2"/>
  <c r="K445" i="2"/>
  <c r="K444" i="2"/>
  <c r="K443" i="2"/>
  <c r="K442" i="2"/>
  <c r="K441" i="2"/>
  <c r="K440" i="2"/>
  <c r="K439" i="2"/>
  <c r="K438" i="2"/>
  <c r="K437" i="2"/>
  <c r="K436" i="2"/>
  <c r="K435" i="2"/>
  <c r="K434" i="2"/>
  <c r="K433" i="2"/>
  <c r="K432" i="2"/>
  <c r="K431" i="2"/>
  <c r="K430" i="2"/>
  <c r="K429" i="2"/>
  <c r="K428" i="2"/>
  <c r="K423" i="2"/>
  <c r="K422" i="2"/>
  <c r="K421" i="2"/>
  <c r="K420" i="2"/>
  <c r="K419" i="2"/>
  <c r="K418" i="2"/>
  <c r="K417" i="2"/>
  <c r="K424" i="2"/>
  <c r="K425" i="2"/>
  <c r="K426" i="2"/>
  <c r="K427" i="2"/>
  <c r="K416" i="2"/>
  <c r="K415" i="2"/>
  <c r="K412" i="2"/>
  <c r="K413" i="2"/>
  <c r="K414" i="2"/>
  <c r="K411" i="2"/>
  <c r="K410" i="2"/>
  <c r="K409" i="2"/>
  <c r="K408" i="2"/>
  <c r="K407" i="2"/>
  <c r="K406" i="2"/>
  <c r="K405" i="2"/>
  <c r="K404" i="2"/>
  <c r="K403" i="2"/>
  <c r="K402" i="2"/>
  <c r="K401" i="2"/>
  <c r="K400" i="2"/>
  <c r="K399" i="2"/>
  <c r="K398" i="2"/>
  <c r="K397" i="2"/>
  <c r="K396" i="2"/>
  <c r="K395" i="2"/>
  <c r="K394" i="2"/>
  <c r="K393" i="2"/>
  <c r="K392" i="2"/>
  <c r="K391" i="2"/>
  <c r="K390" i="2"/>
  <c r="K389" i="2"/>
  <c r="K388" i="2"/>
  <c r="K387" i="2"/>
  <c r="K386" i="2"/>
  <c r="K385" i="2"/>
  <c r="K384" i="2"/>
  <c r="K383" i="2"/>
  <c r="K382" i="2"/>
  <c r="K381" i="2"/>
  <c r="K380" i="2"/>
  <c r="K379" i="2"/>
  <c r="K378" i="2"/>
  <c r="K377" i="2"/>
  <c r="K376" i="2"/>
  <c r="K375" i="2"/>
  <c r="K374" i="2"/>
  <c r="K373" i="2"/>
  <c r="K372" i="2"/>
  <c r="K371" i="2"/>
  <c r="K370" i="2"/>
  <c r="K369" i="2"/>
  <c r="K368" i="2"/>
  <c r="K367" i="2"/>
  <c r="K366" i="2"/>
  <c r="K365" i="2"/>
  <c r="K364" i="2"/>
  <c r="K363" i="2"/>
  <c r="K362" i="2"/>
  <c r="K361" i="2"/>
  <c r="K360" i="2"/>
  <c r="K359" i="2"/>
  <c r="K358" i="2"/>
  <c r="K357" i="2"/>
  <c r="K356" i="2"/>
  <c r="K355" i="2"/>
  <c r="K354" i="2"/>
  <c r="K353" i="2"/>
  <c r="K352" i="2"/>
  <c r="K351" i="2"/>
  <c r="K350" i="2"/>
  <c r="K347" i="2"/>
  <c r="K349" i="2"/>
  <c r="K348" i="2"/>
  <c r="K346" i="2"/>
  <c r="K345" i="2"/>
  <c r="K344" i="2"/>
  <c r="K343" i="2"/>
  <c r="K342" i="2"/>
  <c r="K341" i="2"/>
  <c r="K340" i="2" l="1"/>
  <c r="K339" i="2"/>
  <c r="K338" i="2"/>
  <c r="K337" i="2"/>
  <c r="K332" i="2"/>
  <c r="K331" i="2"/>
  <c r="K330" i="2"/>
  <c r="K329" i="2"/>
  <c r="K336" i="2"/>
  <c r="K335" i="2"/>
  <c r="K334" i="2"/>
  <c r="K333" i="2"/>
  <c r="K328" i="2"/>
  <c r="K327" i="2"/>
  <c r="K326" i="2"/>
  <c r="K325" i="2"/>
  <c r="K324" i="2"/>
  <c r="K323" i="2"/>
  <c r="K322" i="2"/>
  <c r="K321" i="2"/>
  <c r="K320" i="2"/>
  <c r="K319" i="2"/>
  <c r="K318" i="2"/>
  <c r="K317" i="2"/>
  <c r="K316" i="2"/>
  <c r="K315" i="2"/>
  <c r="K314" i="2"/>
  <c r="K313" i="2"/>
  <c r="K312" i="2"/>
  <c r="K311" i="2"/>
  <c r="K310" i="2"/>
  <c r="K309" i="2"/>
  <c r="K308" i="2"/>
  <c r="K307" i="2"/>
  <c r="K306" i="2"/>
  <c r="K305" i="2"/>
  <c r="K304" i="2"/>
  <c r="K303" i="2"/>
  <c r="K302" i="2"/>
  <c r="K301" i="2"/>
  <c r="K300" i="2"/>
  <c r="K299" i="2"/>
  <c r="K298" i="2"/>
  <c r="K297" i="2"/>
  <c r="K296" i="2"/>
  <c r="K295" i="2"/>
  <c r="K294" i="2"/>
  <c r="K293" i="2"/>
  <c r="K292" i="2"/>
  <c r="K291" i="2"/>
  <c r="K290" i="2"/>
  <c r="K289" i="2"/>
  <c r="K288" i="2"/>
  <c r="K287" i="2"/>
  <c r="K286" i="2"/>
  <c r="K285" i="2"/>
  <c r="K284" i="2"/>
  <c r="K283" i="2"/>
  <c r="K282" i="2"/>
  <c r="K281" i="2"/>
  <c r="K280" i="2"/>
  <c r="K279" i="2"/>
  <c r="K278" i="2"/>
  <c r="K277" i="2"/>
  <c r="K276" i="2"/>
  <c r="K275" i="2"/>
  <c r="K274" i="2"/>
  <c r="K273" i="2"/>
  <c r="K272" i="2"/>
  <c r="K271" i="2"/>
  <c r="K270" i="2"/>
  <c r="K269" i="2"/>
  <c r="K268" i="2"/>
  <c r="K267" i="2"/>
  <c r="K266" i="2"/>
  <c r="K265" i="2"/>
  <c r="K264" i="2"/>
  <c r="K263" i="2"/>
  <c r="K262" i="2"/>
  <c r="K261" i="2"/>
  <c r="K260" i="2"/>
  <c r="K259" i="2"/>
  <c r="K258" i="2"/>
  <c r="K257" i="2"/>
  <c r="K256" i="2"/>
  <c r="K255" i="2"/>
  <c r="K254" i="2"/>
  <c r="K253" i="2"/>
  <c r="K252" i="2"/>
  <c r="K251" i="2"/>
  <c r="K250" i="2"/>
  <c r="K249" i="2"/>
  <c r="K248" i="2"/>
  <c r="K246" i="2"/>
  <c r="K245" i="2"/>
  <c r="K244" i="2"/>
  <c r="K243" i="2"/>
  <c r="K242" i="2"/>
  <c r="K241" i="2"/>
  <c r="K240" i="2"/>
  <c r="K239" i="2"/>
  <c r="K238" i="2"/>
  <c r="K237" i="2"/>
  <c r="K236" i="2"/>
  <c r="K235" i="2"/>
  <c r="K234" i="2"/>
  <c r="K233" i="2"/>
  <c r="K232" i="2"/>
  <c r="K231" i="2"/>
  <c r="K230" i="2"/>
  <c r="K229" i="2"/>
  <c r="K228" i="2"/>
  <c r="K227" i="2"/>
  <c r="K226" i="2"/>
  <c r="K225" i="2"/>
  <c r="K224" i="2"/>
  <c r="K223" i="2"/>
  <c r="K222" i="2"/>
  <c r="K221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</calcChain>
</file>

<file path=xl/sharedStrings.xml><?xml version="1.0" encoding="utf-8"?>
<sst xmlns="http://schemas.openxmlformats.org/spreadsheetml/2006/main" count="3329" uniqueCount="132">
  <si>
    <t>Nome do Dado</t>
  </si>
  <si>
    <t>Localização (Coluna/Linha) do Nome do Dado</t>
  </si>
  <si>
    <t>Descrição do Dado</t>
  </si>
  <si>
    <t>Tipo do dado</t>
  </si>
  <si>
    <t>Exemplo</t>
  </si>
  <si>
    <t>Data_de_Atualização</t>
  </si>
  <si>
    <t>B1</t>
  </si>
  <si>
    <t>Dia/Mês/ano da última atualização dos dados na planilha, no formato DD/MM/AAAA.</t>
  </si>
  <si>
    <t>Data, 10 dígitos</t>
  </si>
  <si>
    <t>mes_de_referencia</t>
  </si>
  <si>
    <t>A3</t>
  </si>
  <si>
    <t>Mês/ano de referência da movimentação, no formato AAAA-MM.</t>
  </si>
  <si>
    <t>Data, 7 dígitos</t>
  </si>
  <si>
    <t>2022-10</t>
  </si>
  <si>
    <t>codigo_anp_do_terminal</t>
  </si>
  <si>
    <t>B3</t>
  </si>
  <si>
    <t>Código ANP de instalação do terminal, conforme tabela de apoio T008 do SIMP (códigos de instalações): https://simp.anp.gov.br/tabela-codigos.asp.</t>
  </si>
  <si>
    <t>Número inteiro, 7 dígitos</t>
  </si>
  <si>
    <t>nome_do_terminal</t>
  </si>
  <si>
    <t>C3</t>
  </si>
  <si>
    <t>Campo de texto livre para identificação do terminal.</t>
  </si>
  <si>
    <t>Texto, até 148 caracteres</t>
  </si>
  <si>
    <t>TERMINAL PANDENOR</t>
  </si>
  <si>
    <t>municipio_do_terminal</t>
  </si>
  <si>
    <t>D3</t>
  </si>
  <si>
    <t>Nome do município onde o terminal se encontra.</t>
  </si>
  <si>
    <t>IPOJUCA</t>
  </si>
  <si>
    <t>uf</t>
  </si>
  <si>
    <t>E3</t>
  </si>
  <si>
    <t>Alfabético, maiúsculo, 2 posições.</t>
  </si>
  <si>
    <t>Texto, 2 caracteres</t>
  </si>
  <si>
    <t>PE</t>
  </si>
  <si>
    <t>sentido_da_operacao</t>
  </si>
  <si>
    <t>F3</t>
  </si>
  <si>
    <t>1 = Recepção ou 2 = Entrega.</t>
  </si>
  <si>
    <t>Número inteiro, 1 dígito</t>
  </si>
  <si>
    <t>tipo_da_operacao</t>
  </si>
  <si>
    <t>G3</t>
  </si>
  <si>
    <t xml:space="preserve">1 = Com armazenagem: produto bombeado a partir, ou para, tanque do próprio terminal.
2 = Sem armazenagem: produto bombeado a partir, ou para, tanque de outra instalação.
3 = Transbordo: transferência direta de produtos de uma embarcação para outra.
4 = Abastecimento: entrega de produtos para consumo a bordo.
9 = Outros                                                                                                                                                                                             </t>
  </si>
  <si>
    <t>modo_de_transporte</t>
  </si>
  <si>
    <t>H3</t>
  </si>
  <si>
    <t xml:space="preserve">1 = Rodoviário, 2 = Ferroviário, 4 = Aquaviário, 5 = Dutoviário e 9 = Outros. </t>
  </si>
  <si>
    <t>codigo_anp_do_produto</t>
  </si>
  <si>
    <t>I3</t>
  </si>
  <si>
    <t xml:space="preserve">Código ANP do produto movimentado, conforme Tabela de apoio T012 do SIMP (códigos de produtos): https://simp.anp.gov.br/tabela-codigos.asp
Caso o produto movimentado não tenha código ANP, preencher com zeros.                                         </t>
  </si>
  <si>
    <t>Número inteiro, 9 dígitos</t>
  </si>
  <si>
    <t>descricao_do_produto</t>
  </si>
  <si>
    <t>J3</t>
  </si>
  <si>
    <t xml:space="preserve">Nome do produto, conforme Tabela de apoio T012 do SIMP (códigos de produtos): https://simp.anp.gov.br/tabela-codigos.asp
Caso o produto movimentado não conste na relação de produtos ANP da tabela T012, preencher com a denominação própria do produto.                                                                                                                          </t>
  </si>
  <si>
    <t>Texto</t>
  </si>
  <si>
    <t>ÓLEO DIESEL A S10</t>
  </si>
  <si>
    <t>volume_m3</t>
  </si>
  <si>
    <t>K3</t>
  </si>
  <si>
    <t>Quantidade de produto convertido para metros cúbicos (m³) a 20ºC.</t>
  </si>
  <si>
    <t>Número decimal
(vírgula como separador decimal)</t>
  </si>
  <si>
    <t>Observações:</t>
  </si>
  <si>
    <t>1) O Operador deve manter as duas abas da planilha ("Metadados" e "Dados") sem alterar seus nomes.</t>
  </si>
  <si>
    <t>2) O Operador deve inserir os dados na aba "Dados", obedecendo o Layout estabelecido nesta planilha (sem alterar a localização dos nomes dos campos)</t>
  </si>
  <si>
    <t>3) O Operador, a cada nova publicação dos dados, deve registrar a data da última atualização na planilha (aba "Dados", na célula B1).</t>
  </si>
  <si>
    <t>4) Os dados de movimentação devem ser inseridos a partir da linha 4, seguindo a ordem cronológica definida no Mês de Referência</t>
  </si>
  <si>
    <t>5) O operador deve atualizar a planilha de histórico de movimentações em seu site até o dia 15 de cada mês, com as movimentações ocorridas no mês anterior, ou seja acrescentado os dados imediatamente após os últimos dados inseridos até então.</t>
  </si>
  <si>
    <t>6) O operador deve manter disponível na planilha histórico de dados de movimentação de, pelo menos, os últimos 120 meses.</t>
  </si>
  <si>
    <t>Atualizado em:</t>
  </si>
  <si>
    <t xml:space="preserve">Histórico dos volumes mensais movimentados no terminal </t>
  </si>
  <si>
    <t>Em atendimento ao artigo 26, III, d, da Resolução ANP nº 881, de 8 de julho de 2022</t>
  </si>
  <si>
    <t>2021-06</t>
  </si>
  <si>
    <t xml:space="preserve"> LATITUDE LOGISTICA PORTUÁRIA S.A</t>
  </si>
  <si>
    <t>BELÉM</t>
  </si>
  <si>
    <t>PA</t>
  </si>
  <si>
    <t>BIODIESEL B100</t>
  </si>
  <si>
    <t>ÓLEO DIESEL MARITIMO</t>
  </si>
  <si>
    <t>ÓLEO DIESEL S10</t>
  </si>
  <si>
    <t>GASOLINA A COMUM</t>
  </si>
  <si>
    <t>2021-07</t>
  </si>
  <si>
    <t>2021-08</t>
  </si>
  <si>
    <t>2021-09</t>
  </si>
  <si>
    <t>ÓLEO DIESEL S500</t>
  </si>
  <si>
    <t>2021-10</t>
  </si>
  <si>
    <t>2021-11</t>
  </si>
  <si>
    <t>2021-12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</si>
  <si>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</si>
  <si>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</si>
  <si>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</si>
  <si>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</si>
  <si>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</si>
  <si>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</si>
  <si>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</si>
  <si>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</si>
  <si>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</si>
  <si>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</si>
  <si>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</si>
  <si>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</si>
  <si>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</si>
  <si>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</si>
  <si>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</si>
  <si>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</si>
  <si>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</si>
  <si>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</si>
  <si>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</si>
  <si>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</si>
  <si>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</si>
  <si>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</si>
  <si>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</si>
  <si>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</si>
  <si>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</si>
  <si>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</si>
  <si>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</si>
  <si>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</si>
  <si>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</si>
  <si>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</si>
  <si>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</si>
  <si>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</si>
  <si>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</si>
  <si>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</si>
  <si>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</si>
  <si>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</si>
  <si>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</si>
  <si>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</si>
  <si>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</si>
  <si>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</si>
  <si>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</si>
  <si>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</si>
  <si>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</si>
  <si>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</si>
  <si>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</si>
  <si>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</si>
  <si>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</si>
  <si>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2026-01</t>
  </si>
  <si>
    <t>2026-02</t>
  </si>
  <si>
    <t>2026-03</t>
  </si>
  <si>
    <t>2026-04</t>
  </si>
  <si>
    <t>2026-05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</si>
</sst>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1">
    <xf numFmtId="0" fontId="0" fillId="0" borderId="0" xfId="0"/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/>
    <xf numFmtId="0" fontId="0" fillId="2" borderId="1" xfId="0" applyFill="1" applyBorder="1" applyAlignment="1">
      <alignment wrapText="1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4" fontId="4" fillId="3" borderId="0" xfId="0" applyNumberFormat="1" applyFont="1" applyFill="1"/>
    <xf numFmtId="1" fontId="0" fillId="0" borderId="0" xfId="0" applyNumberFormat="1"/>
    <xf numFmtId="1" fontId="0" fillId="0" borderId="0" xfId="0" applyNumberFormat="1" applyAlignment="1">
      <alignment horizontal="center"/>
    </xf>
    <xf numFmtId="164" fontId="0" fillId="0" borderId="0" xfId="0" applyNumberFormat="1"/>
    <xf numFmtId="164" fontId="0" fillId="0" borderId="0" xfId="1" applyNumberFormat="1" applyFont="1"/>
    <xf numFmtId="0" fontId="5" fillId="0" borderId="0" xfId="0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68C7D-BC71-4AFD-ACC5-124737AD22AE}">
  <dimension ref="A2:E26"/>
  <sheetViews>
    <sheetView topLeftCell="A3" zoomScale="80" zoomScaleNormal="80" workbookViewId="0">
      <selection activeCell="C11" sqref="C11"/>
    </sheetView>
  </sheetViews>
  <sheetFormatPr defaultRowHeight="15" x14ac:dyDescent="0.25"/>
  <cols>
    <col min="1" max="1" width="36" style="6" customWidth="1"/>
    <col min="2" max="2" width="19.85546875" style="6" customWidth="1"/>
    <col min="3" max="3" width="93.28515625" customWidth="1"/>
    <col min="4" max="4" width="25.85546875" bestFit="1" customWidth="1"/>
    <col min="5" max="5" width="20.85546875" bestFit="1" customWidth="1"/>
  </cols>
  <sheetData>
    <row r="2" spans="1:5" ht="45" x14ac:dyDescent="0.25">
      <c r="A2" s="7" t="s">
        <v>0</v>
      </c>
      <c r="B2" s="8" t="s">
        <v>1</v>
      </c>
      <c r="C2" s="7" t="s">
        <v>2</v>
      </c>
      <c r="D2" s="7" t="s">
        <v>3</v>
      </c>
      <c r="E2" s="7" t="s">
        <v>4</v>
      </c>
    </row>
    <row r="3" spans="1:5" x14ac:dyDescent="0.25">
      <c r="A3" s="9" t="s">
        <v>5</v>
      </c>
      <c r="B3" s="3" t="s">
        <v>6</v>
      </c>
      <c r="C3" s="1" t="s">
        <v>7</v>
      </c>
      <c r="D3" s="2" t="s">
        <v>8</v>
      </c>
      <c r="E3" s="10">
        <v>44849</v>
      </c>
    </row>
    <row r="4" spans="1:5" x14ac:dyDescent="0.25">
      <c r="A4" s="2" t="s">
        <v>9</v>
      </c>
      <c r="B4" s="2" t="s">
        <v>10</v>
      </c>
      <c r="C4" s="1" t="s">
        <v>11</v>
      </c>
      <c r="D4" s="2" t="s">
        <v>12</v>
      </c>
      <c r="E4" s="2" t="s">
        <v>13</v>
      </c>
    </row>
    <row r="5" spans="1:5" ht="30" x14ac:dyDescent="0.25">
      <c r="A5" s="2" t="s">
        <v>14</v>
      </c>
      <c r="B5" s="2" t="s">
        <v>15</v>
      </c>
      <c r="C5" s="1" t="s">
        <v>16</v>
      </c>
      <c r="D5" s="2" t="s">
        <v>17</v>
      </c>
      <c r="E5" s="2">
        <v>1033600</v>
      </c>
    </row>
    <row r="6" spans="1:5" x14ac:dyDescent="0.25">
      <c r="A6" s="2" t="s">
        <v>18</v>
      </c>
      <c r="B6" s="2" t="s">
        <v>19</v>
      </c>
      <c r="C6" s="1" t="s">
        <v>20</v>
      </c>
      <c r="D6" s="14" t="s">
        <v>21</v>
      </c>
      <c r="E6" s="2" t="s">
        <v>22</v>
      </c>
    </row>
    <row r="7" spans="1:5" x14ac:dyDescent="0.25">
      <c r="A7" s="2" t="s">
        <v>23</v>
      </c>
      <c r="B7" s="2" t="s">
        <v>24</v>
      </c>
      <c r="C7" s="1" t="s">
        <v>25</v>
      </c>
      <c r="D7" s="13" t="s">
        <v>21</v>
      </c>
      <c r="E7" s="2" t="s">
        <v>26</v>
      </c>
    </row>
    <row r="8" spans="1:5" x14ac:dyDescent="0.25">
      <c r="A8" s="2" t="s">
        <v>27</v>
      </c>
      <c r="B8" s="2" t="s">
        <v>28</v>
      </c>
      <c r="C8" s="1" t="s">
        <v>29</v>
      </c>
      <c r="D8" s="2" t="s">
        <v>30</v>
      </c>
      <c r="E8" s="2" t="s">
        <v>31</v>
      </c>
    </row>
    <row r="9" spans="1:5" x14ac:dyDescent="0.25">
      <c r="A9" s="2" t="s">
        <v>32</v>
      </c>
      <c r="B9" s="2" t="s">
        <v>33</v>
      </c>
      <c r="C9" s="1" t="s">
        <v>34</v>
      </c>
      <c r="D9" s="2" t="s">
        <v>35</v>
      </c>
      <c r="E9" s="2">
        <v>1</v>
      </c>
    </row>
    <row r="10" spans="1:5" ht="75" x14ac:dyDescent="0.25">
      <c r="A10" s="2" t="s">
        <v>36</v>
      </c>
      <c r="B10" s="2" t="s">
        <v>37</v>
      </c>
      <c r="C10" s="1" t="s">
        <v>38</v>
      </c>
      <c r="D10" s="2" t="s">
        <v>35</v>
      </c>
      <c r="E10" s="2">
        <v>2</v>
      </c>
    </row>
    <row r="11" spans="1:5" x14ac:dyDescent="0.25">
      <c r="A11" s="2" t="s">
        <v>39</v>
      </c>
      <c r="B11" s="2" t="s">
        <v>40</v>
      </c>
      <c r="C11" s="1" t="s">
        <v>41</v>
      </c>
      <c r="D11" s="2" t="s">
        <v>35</v>
      </c>
      <c r="E11" s="2">
        <v>4</v>
      </c>
    </row>
    <row r="12" spans="1:5" ht="45" x14ac:dyDescent="0.25">
      <c r="A12" s="2" t="s">
        <v>42</v>
      </c>
      <c r="B12" s="2" t="s">
        <v>43</v>
      </c>
      <c r="C12" s="1" t="s">
        <v>44</v>
      </c>
      <c r="D12" s="2" t="s">
        <v>45</v>
      </c>
      <c r="E12" s="2">
        <v>420105001</v>
      </c>
    </row>
    <row r="13" spans="1:5" ht="60" x14ac:dyDescent="0.25">
      <c r="A13" s="2" t="s">
        <v>46</v>
      </c>
      <c r="B13" s="2" t="s">
        <v>47</v>
      </c>
      <c r="C13" s="1" t="s">
        <v>48</v>
      </c>
      <c r="D13" s="2" t="s">
        <v>49</v>
      </c>
      <c r="E13" s="2" t="s">
        <v>50</v>
      </c>
    </row>
    <row r="14" spans="1:5" ht="45" x14ac:dyDescent="0.25">
      <c r="A14" s="2" t="s">
        <v>51</v>
      </c>
      <c r="B14" s="2" t="s">
        <v>52</v>
      </c>
      <c r="C14" s="1" t="s">
        <v>53</v>
      </c>
      <c r="D14" s="3" t="s">
        <v>54</v>
      </c>
      <c r="E14" s="2">
        <v>35816.58</v>
      </c>
    </row>
    <row r="15" spans="1:5" x14ac:dyDescent="0.25">
      <c r="A15"/>
      <c r="B15"/>
    </row>
    <row r="17" spans="3:4" x14ac:dyDescent="0.25">
      <c r="C17" s="4" t="s">
        <v>55</v>
      </c>
    </row>
    <row r="18" spans="3:4" ht="30" x14ac:dyDescent="0.25">
      <c r="C18" s="5" t="s">
        <v>56</v>
      </c>
    </row>
    <row r="19" spans="3:4" ht="30" x14ac:dyDescent="0.25">
      <c r="C19" s="5" t="s">
        <v>57</v>
      </c>
    </row>
    <row r="20" spans="3:4" ht="30" x14ac:dyDescent="0.25">
      <c r="C20" s="5" t="s">
        <v>58</v>
      </c>
    </row>
    <row r="21" spans="3:4" ht="30" x14ac:dyDescent="0.25">
      <c r="C21" s="5" t="s">
        <v>59</v>
      </c>
    </row>
    <row r="22" spans="3:4" ht="45" x14ac:dyDescent="0.25">
      <c r="C22" s="1" t="s">
        <v>60</v>
      </c>
    </row>
    <row r="23" spans="3:4" ht="30" x14ac:dyDescent="0.25">
      <c r="C23" s="1" t="s">
        <v>61</v>
      </c>
    </row>
    <row r="26" spans="3:4" x14ac:dyDescent="0.25">
      <c r="C26" s="6"/>
      <c r="D26" s="6"/>
    </row>
  </sheetData>
  <phoneticPr fontId="3" type="noConversion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1BDFB-BC2C-4467-8B3B-68005C5D7340}">
  <dimension ref="A1:L653"/>
  <sheetViews>
    <sheetView tabSelected="1" topLeftCell="A638" workbookViewId="0">
      <selection activeCell="A653" sqref="A653"/>
    </sheetView>
  </sheetViews>
  <sheetFormatPr defaultRowHeight="15" x14ac:dyDescent="0.25"/>
  <cols>
    <col min="1" max="1" width="17.28515625" bestFit="1" customWidth="1"/>
    <col min="2" max="2" width="20.7109375" customWidth="1"/>
    <col min="3" max="3" width="43" customWidth="1"/>
    <col min="4" max="4" width="9" customWidth="1"/>
    <col min="5" max="5" width="4" customWidth="1"/>
    <col min="6" max="6" width="19.42578125" bestFit="1" customWidth="1"/>
    <col min="7" max="7" width="16.42578125" bestFit="1" customWidth="1"/>
    <col min="8" max="8" width="19.140625" bestFit="1" customWidth="1"/>
    <col min="9" max="9" width="22.28515625" bestFit="1" customWidth="1"/>
    <col min="10" max="10" width="24" customWidth="1"/>
    <col min="11" max="11" width="12.7109375" customWidth="1"/>
  </cols>
  <sheetData>
    <row r="1" spans="1:12" x14ac:dyDescent="0.25">
      <c r="A1" s="11" t="s">
        <v>62</v>
      </c>
      <c r="B1" s="15">
        <v>46182</v>
      </c>
      <c r="C1" s="11" t="s">
        <v>63</v>
      </c>
      <c r="D1" s="12"/>
      <c r="E1" s="20"/>
      <c r="F1" s="20"/>
      <c r="G1" s="12"/>
      <c r="H1" s="12"/>
      <c r="I1" s="12"/>
      <c r="J1" s="12"/>
      <c r="K1" s="12"/>
      <c r="L1" s="12"/>
    </row>
    <row r="2" spans="1:12" x14ac:dyDescent="0.25">
      <c r="A2" s="12"/>
      <c r="B2" s="12"/>
      <c r="C2" s="11" t="s">
        <v>64</v>
      </c>
      <c r="D2" s="12"/>
      <c r="E2" s="20"/>
      <c r="F2" s="20"/>
      <c r="G2" s="12"/>
      <c r="H2" s="12"/>
      <c r="I2" s="12"/>
      <c r="J2" s="12"/>
      <c r="K2" s="12"/>
      <c r="L2" s="12"/>
    </row>
    <row r="3" spans="1:12" x14ac:dyDescent="0.25">
      <c r="A3" s="11" t="s">
        <v>9</v>
      </c>
      <c r="B3" s="11" t="s">
        <v>14</v>
      </c>
      <c r="C3" s="11" t="s">
        <v>18</v>
      </c>
      <c r="D3" s="11" t="s">
        <v>23</v>
      </c>
      <c r="E3" s="11" t="s">
        <v>27</v>
      </c>
      <c r="F3" s="11" t="s">
        <v>32</v>
      </c>
      <c r="G3" s="11" t="s">
        <v>36</v>
      </c>
      <c r="H3" s="11" t="s">
        <v>39</v>
      </c>
      <c r="I3" s="11" t="s">
        <v>42</v>
      </c>
      <c r="J3" s="11" t="s">
        <v>46</v>
      </c>
      <c r="K3" s="11" t="s">
        <v>51</v>
      </c>
      <c r="L3" s="12"/>
    </row>
    <row r="4" spans="1:12" x14ac:dyDescent="0.25">
      <c r="A4" t="s">
        <v>65</v>
      </c>
      <c r="B4" s="16">
        <v>1271538</v>
      </c>
      <c r="C4" t="s">
        <v>66</v>
      </c>
      <c r="D4" t="s">
        <v>67</v>
      </c>
      <c r="E4" t="s">
        <v>68</v>
      </c>
      <c r="F4">
        <v>2</v>
      </c>
      <c r="G4">
        <v>1</v>
      </c>
      <c r="H4">
        <v>5</v>
      </c>
      <c r="I4" s="17">
        <v>820101001</v>
      </c>
      <c r="J4" t="s">
        <v>69</v>
      </c>
      <c r="K4" s="18">
        <f>193213/1000</f>
        <v>193.21299999999999</v>
      </c>
      <c r="L4" s="12"/>
    </row>
    <row r="5" spans="1:12" x14ac:dyDescent="0.25">
      <c r="A5" t="s">
        <v>65</v>
      </c>
      <c r="B5" s="16">
        <v>1271538</v>
      </c>
      <c r="C5" t="s">
        <v>66</v>
      </c>
      <c r="D5" t="s">
        <v>67</v>
      </c>
      <c r="E5" t="s">
        <v>68</v>
      </c>
      <c r="F5">
        <v>2</v>
      </c>
      <c r="G5">
        <v>1</v>
      </c>
      <c r="H5">
        <v>1</v>
      </c>
      <c r="I5" s="6">
        <v>420201001</v>
      </c>
      <c r="J5" t="s">
        <v>70</v>
      </c>
      <c r="K5" s="18">
        <f>431292/1000</f>
        <v>431.29199999999997</v>
      </c>
      <c r="L5" s="12"/>
    </row>
    <row r="6" spans="1:12" x14ac:dyDescent="0.25">
      <c r="A6" t="s">
        <v>65</v>
      </c>
      <c r="B6" s="16">
        <v>1271538</v>
      </c>
      <c r="C6" t="s">
        <v>66</v>
      </c>
      <c r="D6" t="s">
        <v>67</v>
      </c>
      <c r="E6" t="s">
        <v>68</v>
      </c>
      <c r="F6">
        <v>1</v>
      </c>
      <c r="G6">
        <v>1</v>
      </c>
      <c r="H6">
        <v>9</v>
      </c>
      <c r="I6" s="17">
        <v>820101001</v>
      </c>
      <c r="J6" t="s">
        <v>69</v>
      </c>
      <c r="K6" s="18">
        <f>356228/1000</f>
        <v>356.22800000000001</v>
      </c>
    </row>
    <row r="7" spans="1:12" x14ac:dyDescent="0.25">
      <c r="A7" t="s">
        <v>65</v>
      </c>
      <c r="B7" s="16">
        <v>1271538</v>
      </c>
      <c r="C7" t="s">
        <v>66</v>
      </c>
      <c r="D7" t="s">
        <v>67</v>
      </c>
      <c r="E7" t="s">
        <v>68</v>
      </c>
      <c r="F7">
        <v>1</v>
      </c>
      <c r="G7">
        <v>1</v>
      </c>
      <c r="H7">
        <v>9</v>
      </c>
      <c r="I7" s="6">
        <v>420105001</v>
      </c>
      <c r="J7" t="s">
        <v>71</v>
      </c>
      <c r="K7" s="18">
        <f>801685/1000</f>
        <v>801.68499999999995</v>
      </c>
    </row>
    <row r="8" spans="1:12" x14ac:dyDescent="0.25">
      <c r="A8" t="s">
        <v>65</v>
      </c>
      <c r="B8" s="16">
        <v>1271538</v>
      </c>
      <c r="C8" t="s">
        <v>66</v>
      </c>
      <c r="D8" t="s">
        <v>67</v>
      </c>
      <c r="E8" t="s">
        <v>68</v>
      </c>
      <c r="F8">
        <v>1</v>
      </c>
      <c r="G8">
        <v>1</v>
      </c>
      <c r="H8">
        <v>9</v>
      </c>
      <c r="I8" s="6">
        <v>320101001</v>
      </c>
      <c r="J8" t="s">
        <v>72</v>
      </c>
      <c r="K8" s="18">
        <f>1036942/1000</f>
        <v>1036.942</v>
      </c>
    </row>
    <row r="9" spans="1:12" x14ac:dyDescent="0.25">
      <c r="A9" t="s">
        <v>65</v>
      </c>
      <c r="B9" s="16">
        <v>1271538</v>
      </c>
      <c r="C9" t="s">
        <v>66</v>
      </c>
      <c r="D9" t="s">
        <v>67</v>
      </c>
      <c r="E9" t="s">
        <v>68</v>
      </c>
      <c r="F9">
        <v>1</v>
      </c>
      <c r="G9">
        <v>1</v>
      </c>
      <c r="H9">
        <v>9</v>
      </c>
      <c r="I9" s="6">
        <v>420201001</v>
      </c>
      <c r="J9" t="s">
        <v>70</v>
      </c>
      <c r="K9" s="18">
        <f>2108497/1000</f>
        <v>2108.4969999999998</v>
      </c>
    </row>
    <row r="10" spans="1:12" x14ac:dyDescent="0.25">
      <c r="A10" t="s">
        <v>73</v>
      </c>
      <c r="B10" s="16">
        <v>1271538</v>
      </c>
      <c r="C10" t="s">
        <v>66</v>
      </c>
      <c r="D10" t="s">
        <v>67</v>
      </c>
      <c r="E10" t="s">
        <v>68</v>
      </c>
      <c r="F10">
        <v>1</v>
      </c>
      <c r="G10">
        <v>1</v>
      </c>
      <c r="H10">
        <v>4</v>
      </c>
      <c r="I10" s="17">
        <v>820101001</v>
      </c>
      <c r="J10" t="s">
        <v>69</v>
      </c>
      <c r="K10" s="18">
        <f>55529/1000</f>
        <v>55.529000000000003</v>
      </c>
    </row>
    <row r="11" spans="1:12" x14ac:dyDescent="0.25">
      <c r="A11" t="s">
        <v>73</v>
      </c>
      <c r="B11" s="16">
        <v>1271538</v>
      </c>
      <c r="C11" t="s">
        <v>66</v>
      </c>
      <c r="D11" t="s">
        <v>67</v>
      </c>
      <c r="E11" t="s">
        <v>68</v>
      </c>
      <c r="F11">
        <v>1</v>
      </c>
      <c r="G11">
        <v>1</v>
      </c>
      <c r="H11">
        <v>4</v>
      </c>
      <c r="I11" s="6">
        <v>420105001</v>
      </c>
      <c r="J11" t="s">
        <v>71</v>
      </c>
      <c r="K11" s="18">
        <f>12091155/1000</f>
        <v>12091.155000000001</v>
      </c>
    </row>
    <row r="12" spans="1:12" x14ac:dyDescent="0.25">
      <c r="A12" t="s">
        <v>73</v>
      </c>
      <c r="B12" s="16">
        <v>1271538</v>
      </c>
      <c r="C12" t="s">
        <v>66</v>
      </c>
      <c r="D12" t="s">
        <v>67</v>
      </c>
      <c r="E12" t="s">
        <v>68</v>
      </c>
      <c r="F12">
        <v>1</v>
      </c>
      <c r="G12">
        <v>1</v>
      </c>
      <c r="H12">
        <v>4</v>
      </c>
      <c r="I12" s="6">
        <v>320101001</v>
      </c>
      <c r="J12" t="s">
        <v>72</v>
      </c>
      <c r="K12" s="18">
        <f>2499397/1000</f>
        <v>2499.3969999999999</v>
      </c>
    </row>
    <row r="13" spans="1:12" x14ac:dyDescent="0.25">
      <c r="A13" t="s">
        <v>73</v>
      </c>
      <c r="B13" s="16">
        <v>1271538</v>
      </c>
      <c r="C13" t="s">
        <v>66</v>
      </c>
      <c r="D13" t="s">
        <v>67</v>
      </c>
      <c r="E13" t="s">
        <v>68</v>
      </c>
      <c r="F13">
        <v>1</v>
      </c>
      <c r="G13">
        <v>1</v>
      </c>
      <c r="H13">
        <v>4</v>
      </c>
      <c r="I13" s="6">
        <v>420201001</v>
      </c>
      <c r="J13" t="s">
        <v>70</v>
      </c>
      <c r="K13" s="18">
        <f>4302967/1000</f>
        <v>4302.9669999999996</v>
      </c>
    </row>
    <row r="14" spans="1:12" x14ac:dyDescent="0.25">
      <c r="A14" t="s">
        <v>73</v>
      </c>
      <c r="B14" s="16">
        <v>1271538</v>
      </c>
      <c r="C14" t="s">
        <v>66</v>
      </c>
      <c r="D14" t="s">
        <v>67</v>
      </c>
      <c r="E14" t="s">
        <v>68</v>
      </c>
      <c r="F14">
        <v>1</v>
      </c>
      <c r="G14">
        <v>1</v>
      </c>
      <c r="H14">
        <v>1</v>
      </c>
      <c r="I14" s="17">
        <v>820101001</v>
      </c>
      <c r="J14" t="s">
        <v>69</v>
      </c>
      <c r="K14" s="18">
        <f>54266/1000</f>
        <v>54.265999999999998</v>
      </c>
    </row>
    <row r="15" spans="1:12" x14ac:dyDescent="0.25">
      <c r="A15" t="s">
        <v>73</v>
      </c>
      <c r="B15" s="16">
        <v>1271538</v>
      </c>
      <c r="C15" t="s">
        <v>66</v>
      </c>
      <c r="D15" t="s">
        <v>67</v>
      </c>
      <c r="E15" t="s">
        <v>68</v>
      </c>
      <c r="F15">
        <v>1</v>
      </c>
      <c r="G15">
        <v>1</v>
      </c>
      <c r="H15">
        <v>1</v>
      </c>
      <c r="I15" s="6">
        <v>420105001</v>
      </c>
      <c r="J15" t="s">
        <v>71</v>
      </c>
      <c r="K15" s="18">
        <f>25000/1000</f>
        <v>25</v>
      </c>
    </row>
    <row r="16" spans="1:12" x14ac:dyDescent="0.25">
      <c r="A16" t="s">
        <v>73</v>
      </c>
      <c r="B16" s="16">
        <v>1271538</v>
      </c>
      <c r="C16" t="s">
        <v>66</v>
      </c>
      <c r="D16" t="s">
        <v>67</v>
      </c>
      <c r="E16" t="s">
        <v>68</v>
      </c>
      <c r="F16">
        <v>1</v>
      </c>
      <c r="G16">
        <v>1</v>
      </c>
      <c r="H16">
        <v>5</v>
      </c>
      <c r="I16" s="6">
        <v>420105001</v>
      </c>
      <c r="J16" t="s">
        <v>71</v>
      </c>
      <c r="K16" s="18">
        <f>7696141/1000</f>
        <v>7696.1409999999996</v>
      </c>
    </row>
    <row r="17" spans="1:11" x14ac:dyDescent="0.25">
      <c r="A17" t="s">
        <v>73</v>
      </c>
      <c r="B17" s="16">
        <v>1271538</v>
      </c>
      <c r="C17" t="s">
        <v>66</v>
      </c>
      <c r="D17" t="s">
        <v>67</v>
      </c>
      <c r="E17" t="s">
        <v>68</v>
      </c>
      <c r="F17">
        <v>1</v>
      </c>
      <c r="G17">
        <v>1</v>
      </c>
      <c r="H17">
        <v>5</v>
      </c>
      <c r="I17" s="6">
        <v>420201001</v>
      </c>
      <c r="J17" t="s">
        <v>70</v>
      </c>
      <c r="K17" s="18">
        <f>2443137/1000</f>
        <v>2443.1370000000002</v>
      </c>
    </row>
    <row r="18" spans="1:11" x14ac:dyDescent="0.25">
      <c r="A18" t="s">
        <v>73</v>
      </c>
      <c r="B18" s="16">
        <v>1271538</v>
      </c>
      <c r="C18" t="s">
        <v>66</v>
      </c>
      <c r="D18" t="s">
        <v>67</v>
      </c>
      <c r="E18" t="s">
        <v>68</v>
      </c>
      <c r="F18">
        <v>2</v>
      </c>
      <c r="G18">
        <v>1</v>
      </c>
      <c r="H18">
        <v>5</v>
      </c>
      <c r="I18" s="17">
        <v>820101001</v>
      </c>
      <c r="J18" t="s">
        <v>69</v>
      </c>
      <c r="K18" s="18">
        <f>248809/1000</f>
        <v>248.809</v>
      </c>
    </row>
    <row r="19" spans="1:11" x14ac:dyDescent="0.25">
      <c r="A19" t="s">
        <v>73</v>
      </c>
      <c r="B19" s="16">
        <v>1271538</v>
      </c>
      <c r="C19" t="s">
        <v>66</v>
      </c>
      <c r="D19" t="s">
        <v>67</v>
      </c>
      <c r="E19" t="s">
        <v>68</v>
      </c>
      <c r="F19">
        <v>2</v>
      </c>
      <c r="G19">
        <v>1</v>
      </c>
      <c r="H19">
        <v>5</v>
      </c>
      <c r="I19" s="6">
        <v>420105001</v>
      </c>
      <c r="J19" t="s">
        <v>71</v>
      </c>
      <c r="K19" s="18">
        <f>17451998/1000</f>
        <v>17451.998</v>
      </c>
    </row>
    <row r="20" spans="1:11" x14ac:dyDescent="0.25">
      <c r="A20" t="s">
        <v>73</v>
      </c>
      <c r="B20" s="16">
        <v>1271538</v>
      </c>
      <c r="C20" t="s">
        <v>66</v>
      </c>
      <c r="D20" t="s">
        <v>67</v>
      </c>
      <c r="E20" t="s">
        <v>68</v>
      </c>
      <c r="F20">
        <v>2</v>
      </c>
      <c r="G20">
        <v>1</v>
      </c>
      <c r="H20">
        <v>5</v>
      </c>
      <c r="I20" s="6">
        <v>320101001</v>
      </c>
      <c r="J20" t="s">
        <v>72</v>
      </c>
      <c r="K20" s="18">
        <f>3450859/1000</f>
        <v>3450.8589999999999</v>
      </c>
    </row>
    <row r="21" spans="1:11" x14ac:dyDescent="0.25">
      <c r="A21" t="s">
        <v>73</v>
      </c>
      <c r="B21" s="16">
        <v>1271538</v>
      </c>
      <c r="C21" t="s">
        <v>66</v>
      </c>
      <c r="D21" t="s">
        <v>67</v>
      </c>
      <c r="E21" t="s">
        <v>68</v>
      </c>
      <c r="F21">
        <v>2</v>
      </c>
      <c r="G21">
        <v>1</v>
      </c>
      <c r="H21">
        <v>1</v>
      </c>
      <c r="I21" s="6">
        <v>420201001</v>
      </c>
      <c r="J21" t="s">
        <v>70</v>
      </c>
      <c r="K21" s="18">
        <f>7144729/1000</f>
        <v>7144.7290000000003</v>
      </c>
    </row>
    <row r="22" spans="1:11" x14ac:dyDescent="0.25">
      <c r="A22" t="s">
        <v>74</v>
      </c>
      <c r="B22" s="16">
        <v>1271538</v>
      </c>
      <c r="C22" t="s">
        <v>66</v>
      </c>
      <c r="D22" t="s">
        <v>67</v>
      </c>
      <c r="E22" t="s">
        <v>68</v>
      </c>
      <c r="F22">
        <v>2</v>
      </c>
      <c r="G22">
        <v>1</v>
      </c>
      <c r="H22">
        <v>5</v>
      </c>
      <c r="I22" s="6">
        <v>420105001</v>
      </c>
      <c r="J22" t="s">
        <v>71</v>
      </c>
      <c r="K22" s="18">
        <f>10335637/1000</f>
        <v>10335.637000000001</v>
      </c>
    </row>
    <row r="23" spans="1:11" x14ac:dyDescent="0.25">
      <c r="A23" t="s">
        <v>74</v>
      </c>
      <c r="B23" s="16">
        <v>1271538</v>
      </c>
      <c r="C23" t="s">
        <v>66</v>
      </c>
      <c r="D23" t="s">
        <v>67</v>
      </c>
      <c r="E23" t="s">
        <v>68</v>
      </c>
      <c r="F23">
        <v>2</v>
      </c>
      <c r="G23">
        <v>1</v>
      </c>
      <c r="H23">
        <v>5</v>
      </c>
      <c r="I23" s="6">
        <v>320101001</v>
      </c>
      <c r="J23" t="s">
        <v>72</v>
      </c>
      <c r="K23" s="18">
        <f>298175/1000</f>
        <v>298.17500000000001</v>
      </c>
    </row>
    <row r="24" spans="1:11" x14ac:dyDescent="0.25">
      <c r="A24" t="s">
        <v>74</v>
      </c>
      <c r="B24" s="16">
        <v>1271538</v>
      </c>
      <c r="C24" t="s">
        <v>66</v>
      </c>
      <c r="D24" t="s">
        <v>67</v>
      </c>
      <c r="E24" t="s">
        <v>68</v>
      </c>
      <c r="F24">
        <v>2</v>
      </c>
      <c r="G24">
        <v>1</v>
      </c>
      <c r="H24">
        <v>1</v>
      </c>
      <c r="I24" s="6">
        <v>420201001</v>
      </c>
      <c r="J24" t="s">
        <v>70</v>
      </c>
      <c r="K24" s="18">
        <f>8845917/1000</f>
        <v>8845.9169999999995</v>
      </c>
    </row>
    <row r="25" spans="1:11" x14ac:dyDescent="0.25">
      <c r="A25" t="s">
        <v>74</v>
      </c>
      <c r="B25" s="16">
        <v>1271538</v>
      </c>
      <c r="C25" t="s">
        <v>66</v>
      </c>
      <c r="D25" t="s">
        <v>67</v>
      </c>
      <c r="E25" t="s">
        <v>68</v>
      </c>
      <c r="F25">
        <v>1</v>
      </c>
      <c r="G25">
        <v>1</v>
      </c>
      <c r="H25">
        <v>4</v>
      </c>
      <c r="I25" s="6">
        <v>420105001</v>
      </c>
      <c r="J25" t="s">
        <v>71</v>
      </c>
      <c r="K25" s="18">
        <f>10142106/1000</f>
        <v>10142.106</v>
      </c>
    </row>
    <row r="26" spans="1:11" x14ac:dyDescent="0.25">
      <c r="A26" t="s">
        <v>74</v>
      </c>
      <c r="B26" s="16">
        <v>1271538</v>
      </c>
      <c r="C26" t="s">
        <v>66</v>
      </c>
      <c r="D26" t="s">
        <v>67</v>
      </c>
      <c r="E26" t="s">
        <v>68</v>
      </c>
      <c r="F26">
        <v>1</v>
      </c>
      <c r="G26">
        <v>1</v>
      </c>
      <c r="H26">
        <v>4</v>
      </c>
      <c r="I26" s="6">
        <v>320101001</v>
      </c>
      <c r="J26" t="s">
        <v>72</v>
      </c>
      <c r="K26" s="18">
        <f>819491/1000</f>
        <v>819.49099999999999</v>
      </c>
    </row>
    <row r="27" spans="1:11" x14ac:dyDescent="0.25">
      <c r="A27" t="s">
        <v>74</v>
      </c>
      <c r="B27" s="16">
        <v>1271538</v>
      </c>
      <c r="C27" t="s">
        <v>66</v>
      </c>
      <c r="D27" t="s">
        <v>67</v>
      </c>
      <c r="E27" t="s">
        <v>68</v>
      </c>
      <c r="F27">
        <v>1</v>
      </c>
      <c r="G27">
        <v>1</v>
      </c>
      <c r="H27">
        <v>4</v>
      </c>
      <c r="I27" s="6">
        <v>420201001</v>
      </c>
      <c r="J27" t="s">
        <v>70</v>
      </c>
      <c r="K27" s="18">
        <f>8956553/1000</f>
        <v>8956.5529999999999</v>
      </c>
    </row>
    <row r="28" spans="1:11" x14ac:dyDescent="0.25">
      <c r="A28" t="s">
        <v>74</v>
      </c>
      <c r="B28" s="16">
        <v>1271538</v>
      </c>
      <c r="C28" t="s">
        <v>66</v>
      </c>
      <c r="D28" t="s">
        <v>67</v>
      </c>
      <c r="E28" t="s">
        <v>68</v>
      </c>
      <c r="F28">
        <v>1</v>
      </c>
      <c r="G28">
        <v>1</v>
      </c>
      <c r="H28">
        <v>1</v>
      </c>
      <c r="I28" s="6">
        <v>420105001</v>
      </c>
      <c r="J28" t="s">
        <v>71</v>
      </c>
      <c r="K28" s="18">
        <f>806225/1000</f>
        <v>806.22500000000002</v>
      </c>
    </row>
    <row r="29" spans="1:11" x14ac:dyDescent="0.25">
      <c r="A29" t="s">
        <v>74</v>
      </c>
      <c r="B29" s="16">
        <v>1271538</v>
      </c>
      <c r="C29" t="s">
        <v>66</v>
      </c>
      <c r="D29" t="s">
        <v>67</v>
      </c>
      <c r="E29" t="s">
        <v>68</v>
      </c>
      <c r="F29">
        <v>1</v>
      </c>
      <c r="G29">
        <v>1</v>
      </c>
      <c r="H29">
        <v>5</v>
      </c>
      <c r="I29" s="6">
        <v>420105001</v>
      </c>
      <c r="J29" t="s">
        <v>71</v>
      </c>
      <c r="K29" s="18">
        <f>1189441/1000</f>
        <v>1189.441</v>
      </c>
    </row>
    <row r="30" spans="1:11" x14ac:dyDescent="0.25">
      <c r="A30" t="s">
        <v>74</v>
      </c>
      <c r="B30" s="16">
        <v>1271538</v>
      </c>
      <c r="C30" t="s">
        <v>66</v>
      </c>
      <c r="D30" t="s">
        <v>67</v>
      </c>
      <c r="E30" t="s">
        <v>68</v>
      </c>
      <c r="F30">
        <v>1</v>
      </c>
      <c r="G30">
        <v>1</v>
      </c>
      <c r="H30">
        <v>5</v>
      </c>
      <c r="I30" s="6">
        <v>320101001</v>
      </c>
      <c r="J30" t="s">
        <v>72</v>
      </c>
      <c r="K30" s="18">
        <f>307764/1000</f>
        <v>307.76400000000001</v>
      </c>
    </row>
    <row r="31" spans="1:11" x14ac:dyDescent="0.25">
      <c r="A31" t="s">
        <v>74</v>
      </c>
      <c r="B31" s="16">
        <v>1271538</v>
      </c>
      <c r="C31" t="s">
        <v>66</v>
      </c>
      <c r="D31" t="s">
        <v>67</v>
      </c>
      <c r="E31" t="s">
        <v>68</v>
      </c>
      <c r="F31">
        <v>1</v>
      </c>
      <c r="G31">
        <v>1</v>
      </c>
      <c r="H31">
        <v>5</v>
      </c>
      <c r="I31" s="6">
        <v>420201001</v>
      </c>
      <c r="J31" t="s">
        <v>70</v>
      </c>
      <c r="K31" s="18">
        <f>299706/1000</f>
        <v>299.70600000000002</v>
      </c>
    </row>
    <row r="32" spans="1:11" x14ac:dyDescent="0.25">
      <c r="A32" t="s">
        <v>75</v>
      </c>
      <c r="B32" s="16">
        <v>1271538</v>
      </c>
      <c r="C32" t="s">
        <v>66</v>
      </c>
      <c r="D32" t="s">
        <v>67</v>
      </c>
      <c r="E32" t="s">
        <v>68</v>
      </c>
      <c r="F32">
        <v>2</v>
      </c>
      <c r="G32">
        <v>1</v>
      </c>
      <c r="H32">
        <v>5</v>
      </c>
      <c r="I32" s="6">
        <v>420105001</v>
      </c>
      <c r="J32" t="s">
        <v>71</v>
      </c>
      <c r="K32" s="18">
        <f>8347228/1000</f>
        <v>8347.2279999999992</v>
      </c>
    </row>
    <row r="33" spans="1:11" x14ac:dyDescent="0.25">
      <c r="A33" t="s">
        <v>75</v>
      </c>
      <c r="B33" s="16">
        <v>1271538</v>
      </c>
      <c r="C33" t="s">
        <v>66</v>
      </c>
      <c r="D33" t="s">
        <v>67</v>
      </c>
      <c r="E33" t="s">
        <v>68</v>
      </c>
      <c r="F33">
        <v>2</v>
      </c>
      <c r="G33">
        <v>1</v>
      </c>
      <c r="H33">
        <v>5</v>
      </c>
      <c r="I33" s="6">
        <v>420102004</v>
      </c>
      <c r="J33" t="s">
        <v>76</v>
      </c>
      <c r="K33" s="18">
        <f>1021060/1000</f>
        <v>1021.06</v>
      </c>
    </row>
    <row r="34" spans="1:11" x14ac:dyDescent="0.25">
      <c r="A34" t="s">
        <v>75</v>
      </c>
      <c r="B34" s="16">
        <v>1271538</v>
      </c>
      <c r="C34" t="s">
        <v>66</v>
      </c>
      <c r="D34" t="s">
        <v>67</v>
      </c>
      <c r="E34" t="s">
        <v>68</v>
      </c>
      <c r="F34">
        <v>2</v>
      </c>
      <c r="G34">
        <v>1</v>
      </c>
      <c r="H34">
        <v>5</v>
      </c>
      <c r="I34" s="6">
        <v>320101001</v>
      </c>
      <c r="J34" t="s">
        <v>72</v>
      </c>
      <c r="K34" s="18">
        <f>2638783/1000</f>
        <v>2638.7829999999999</v>
      </c>
    </row>
    <row r="35" spans="1:11" x14ac:dyDescent="0.25">
      <c r="A35" t="s">
        <v>75</v>
      </c>
      <c r="B35" s="16">
        <v>1271538</v>
      </c>
      <c r="C35" t="s">
        <v>66</v>
      </c>
      <c r="D35" t="s">
        <v>67</v>
      </c>
      <c r="E35" t="s">
        <v>68</v>
      </c>
      <c r="F35">
        <v>2</v>
      </c>
      <c r="G35">
        <v>1</v>
      </c>
      <c r="H35">
        <v>1</v>
      </c>
      <c r="I35" s="6">
        <v>420201001</v>
      </c>
      <c r="J35" t="s">
        <v>70</v>
      </c>
      <c r="K35" s="18">
        <f>7102356/1000</f>
        <v>7102.3559999999998</v>
      </c>
    </row>
    <row r="36" spans="1:11" x14ac:dyDescent="0.25">
      <c r="A36" t="s">
        <v>75</v>
      </c>
      <c r="B36" s="16">
        <v>1271538</v>
      </c>
      <c r="C36" t="s">
        <v>66</v>
      </c>
      <c r="D36" t="s">
        <v>67</v>
      </c>
      <c r="E36" t="s">
        <v>68</v>
      </c>
      <c r="F36">
        <v>1</v>
      </c>
      <c r="G36">
        <v>1</v>
      </c>
      <c r="H36">
        <v>5</v>
      </c>
      <c r="I36" s="6">
        <v>420102004</v>
      </c>
      <c r="J36" t="s">
        <v>76</v>
      </c>
      <c r="K36" s="18">
        <f>2173533/1000</f>
        <v>2173.5329999999999</v>
      </c>
    </row>
    <row r="37" spans="1:11" x14ac:dyDescent="0.25">
      <c r="A37" t="s">
        <v>75</v>
      </c>
      <c r="B37" s="16">
        <v>1271538</v>
      </c>
      <c r="C37" t="s">
        <v>66</v>
      </c>
      <c r="D37" t="s">
        <v>67</v>
      </c>
      <c r="E37" t="s">
        <v>68</v>
      </c>
      <c r="F37">
        <v>1</v>
      </c>
      <c r="G37">
        <v>1</v>
      </c>
      <c r="H37">
        <v>5</v>
      </c>
      <c r="I37" s="6">
        <v>420201001</v>
      </c>
      <c r="J37" t="s">
        <v>70</v>
      </c>
      <c r="K37" s="18">
        <f>5213070/1000</f>
        <v>5213.07</v>
      </c>
    </row>
    <row r="38" spans="1:11" x14ac:dyDescent="0.25">
      <c r="A38" t="s">
        <v>75</v>
      </c>
      <c r="B38" s="16">
        <v>1271538</v>
      </c>
      <c r="C38" t="s">
        <v>66</v>
      </c>
      <c r="D38" t="s">
        <v>67</v>
      </c>
      <c r="E38" t="s">
        <v>68</v>
      </c>
      <c r="F38">
        <v>1</v>
      </c>
      <c r="G38">
        <v>1</v>
      </c>
      <c r="H38">
        <v>1</v>
      </c>
      <c r="I38" s="6">
        <v>420105001</v>
      </c>
      <c r="J38" t="s">
        <v>71</v>
      </c>
      <c r="K38" s="18">
        <f>1512306/1000</f>
        <v>1512.306</v>
      </c>
    </row>
    <row r="39" spans="1:11" x14ac:dyDescent="0.25">
      <c r="A39" t="s">
        <v>75</v>
      </c>
      <c r="B39" s="16">
        <v>1271538</v>
      </c>
      <c r="C39" t="s">
        <v>66</v>
      </c>
      <c r="D39" t="s">
        <v>67</v>
      </c>
      <c r="E39" t="s">
        <v>68</v>
      </c>
      <c r="F39">
        <v>1</v>
      </c>
      <c r="G39">
        <v>1</v>
      </c>
      <c r="H39">
        <v>1</v>
      </c>
      <c r="I39" s="6">
        <v>420102004</v>
      </c>
      <c r="J39" t="s">
        <v>76</v>
      </c>
      <c r="K39" s="18">
        <f>33644/1000</f>
        <v>33.643999999999998</v>
      </c>
    </row>
    <row r="40" spans="1:11" x14ac:dyDescent="0.25">
      <c r="A40" t="s">
        <v>75</v>
      </c>
      <c r="B40" s="16">
        <v>1271538</v>
      </c>
      <c r="C40" t="s">
        <v>66</v>
      </c>
      <c r="D40" t="s">
        <v>67</v>
      </c>
      <c r="E40" t="s">
        <v>68</v>
      </c>
      <c r="F40">
        <v>1</v>
      </c>
      <c r="G40">
        <v>1</v>
      </c>
      <c r="H40">
        <v>4</v>
      </c>
      <c r="I40" s="6">
        <v>420105001</v>
      </c>
      <c r="J40" t="s">
        <v>71</v>
      </c>
      <c r="K40" s="18">
        <f>3880888/1000</f>
        <v>3880.8879999999999</v>
      </c>
    </row>
    <row r="41" spans="1:11" x14ac:dyDescent="0.25">
      <c r="A41" t="s">
        <v>75</v>
      </c>
      <c r="B41" s="16">
        <v>1271538</v>
      </c>
      <c r="C41" t="s">
        <v>66</v>
      </c>
      <c r="D41" t="s">
        <v>67</v>
      </c>
      <c r="E41" t="s">
        <v>68</v>
      </c>
      <c r="F41">
        <v>1</v>
      </c>
      <c r="G41">
        <v>1</v>
      </c>
      <c r="H41">
        <v>4</v>
      </c>
      <c r="I41" s="6">
        <v>420102004</v>
      </c>
      <c r="J41" t="s">
        <v>76</v>
      </c>
      <c r="K41" s="18">
        <f>779952/1000</f>
        <v>779.952</v>
      </c>
    </row>
    <row r="42" spans="1:11" x14ac:dyDescent="0.25">
      <c r="A42" t="s">
        <v>75</v>
      </c>
      <c r="B42" s="16">
        <v>1271538</v>
      </c>
      <c r="C42" t="s">
        <v>66</v>
      </c>
      <c r="D42" t="s">
        <v>67</v>
      </c>
      <c r="E42" t="s">
        <v>68</v>
      </c>
      <c r="F42">
        <v>1</v>
      </c>
      <c r="G42">
        <v>1</v>
      </c>
      <c r="H42">
        <v>4</v>
      </c>
      <c r="I42" s="6">
        <v>320101001</v>
      </c>
      <c r="J42" t="s">
        <v>72</v>
      </c>
      <c r="K42" s="18">
        <f>2121971/1000</f>
        <v>2121.971</v>
      </c>
    </row>
    <row r="43" spans="1:11" x14ac:dyDescent="0.25">
      <c r="A43" t="s">
        <v>75</v>
      </c>
      <c r="B43" s="16">
        <v>1271538</v>
      </c>
      <c r="C43" t="s">
        <v>66</v>
      </c>
      <c r="D43" t="s">
        <v>67</v>
      </c>
      <c r="E43" t="s">
        <v>68</v>
      </c>
      <c r="F43">
        <v>1</v>
      </c>
      <c r="G43">
        <v>1</v>
      </c>
      <c r="H43">
        <v>4</v>
      </c>
      <c r="I43" s="6">
        <v>420201001</v>
      </c>
      <c r="J43" t="s">
        <v>70</v>
      </c>
      <c r="K43" s="18">
        <f>1288725/1000</f>
        <v>1288.7249999999999</v>
      </c>
    </row>
    <row r="44" spans="1:11" x14ac:dyDescent="0.25">
      <c r="A44" t="s">
        <v>77</v>
      </c>
      <c r="B44" s="16">
        <v>1271538</v>
      </c>
      <c r="C44" t="s">
        <v>66</v>
      </c>
      <c r="D44" t="s">
        <v>67</v>
      </c>
      <c r="E44" t="s">
        <v>68</v>
      </c>
      <c r="F44">
        <v>2</v>
      </c>
      <c r="G44">
        <v>1</v>
      </c>
      <c r="H44">
        <v>5</v>
      </c>
      <c r="I44" s="6">
        <v>420105001</v>
      </c>
      <c r="J44" t="s">
        <v>71</v>
      </c>
      <c r="K44" s="18">
        <f>4968189/1000</f>
        <v>4968.1890000000003</v>
      </c>
    </row>
    <row r="45" spans="1:11" x14ac:dyDescent="0.25">
      <c r="A45" t="s">
        <v>77</v>
      </c>
      <c r="B45" s="16">
        <v>1271538</v>
      </c>
      <c r="C45" t="s">
        <v>66</v>
      </c>
      <c r="D45" t="s">
        <v>67</v>
      </c>
      <c r="E45" t="s">
        <v>68</v>
      </c>
      <c r="F45">
        <v>2</v>
      </c>
      <c r="G45">
        <v>1</v>
      </c>
      <c r="H45">
        <v>5</v>
      </c>
      <c r="I45" s="6">
        <v>420102004</v>
      </c>
      <c r="J45" t="s">
        <v>76</v>
      </c>
      <c r="K45" s="18">
        <f>821135/1000</f>
        <v>821.13499999999999</v>
      </c>
    </row>
    <row r="46" spans="1:11" x14ac:dyDescent="0.25">
      <c r="A46" t="s">
        <v>77</v>
      </c>
      <c r="B46" s="16">
        <v>1271538</v>
      </c>
      <c r="C46" t="s">
        <v>66</v>
      </c>
      <c r="D46" t="s">
        <v>67</v>
      </c>
      <c r="E46" t="s">
        <v>68</v>
      </c>
      <c r="F46">
        <v>2</v>
      </c>
      <c r="G46">
        <v>1</v>
      </c>
      <c r="H46">
        <v>5</v>
      </c>
      <c r="I46" s="6">
        <v>320101001</v>
      </c>
      <c r="J46" t="s">
        <v>72</v>
      </c>
      <c r="K46" s="18">
        <f>1985352/1000</f>
        <v>1985.3520000000001</v>
      </c>
    </row>
    <row r="47" spans="1:11" x14ac:dyDescent="0.25">
      <c r="A47" t="s">
        <v>77</v>
      </c>
      <c r="B47" s="16">
        <v>1271538</v>
      </c>
      <c r="C47" t="s">
        <v>66</v>
      </c>
      <c r="D47" t="s">
        <v>67</v>
      </c>
      <c r="E47" t="s">
        <v>68</v>
      </c>
      <c r="F47">
        <v>2</v>
      </c>
      <c r="G47">
        <v>1</v>
      </c>
      <c r="H47">
        <v>1</v>
      </c>
      <c r="I47" s="6">
        <v>420201001</v>
      </c>
      <c r="J47" t="s">
        <v>70</v>
      </c>
      <c r="K47" s="18">
        <f>7592100/1000</f>
        <v>7592.1</v>
      </c>
    </row>
    <row r="48" spans="1:11" x14ac:dyDescent="0.25">
      <c r="A48" t="s">
        <v>77</v>
      </c>
      <c r="B48" s="16">
        <v>1271538</v>
      </c>
      <c r="C48" t="s">
        <v>66</v>
      </c>
      <c r="D48" t="s">
        <v>67</v>
      </c>
      <c r="E48" t="s">
        <v>68</v>
      </c>
      <c r="F48">
        <v>1</v>
      </c>
      <c r="G48">
        <v>1</v>
      </c>
      <c r="H48">
        <v>4</v>
      </c>
      <c r="I48" s="6">
        <v>420105001</v>
      </c>
      <c r="J48" t="s">
        <v>71</v>
      </c>
      <c r="K48" s="18">
        <f>5706955/1000</f>
        <v>5706.9549999999999</v>
      </c>
    </row>
    <row r="49" spans="1:11" x14ac:dyDescent="0.25">
      <c r="A49" t="s">
        <v>77</v>
      </c>
      <c r="B49" s="16">
        <v>1271538</v>
      </c>
      <c r="C49" t="s">
        <v>66</v>
      </c>
      <c r="D49" t="s">
        <v>67</v>
      </c>
      <c r="E49" t="s">
        <v>68</v>
      </c>
      <c r="F49">
        <v>1</v>
      </c>
      <c r="G49">
        <v>1</v>
      </c>
      <c r="H49">
        <v>4</v>
      </c>
      <c r="I49" s="6">
        <v>420102004</v>
      </c>
      <c r="J49" t="s">
        <v>76</v>
      </c>
      <c r="K49" s="18">
        <f>633242/1000</f>
        <v>633.24199999999996</v>
      </c>
    </row>
    <row r="50" spans="1:11" x14ac:dyDescent="0.25">
      <c r="A50" t="s">
        <v>77</v>
      </c>
      <c r="B50" s="16">
        <v>1271538</v>
      </c>
      <c r="C50" t="s">
        <v>66</v>
      </c>
      <c r="D50" t="s">
        <v>67</v>
      </c>
      <c r="E50" t="s">
        <v>68</v>
      </c>
      <c r="F50">
        <v>1</v>
      </c>
      <c r="G50">
        <v>1</v>
      </c>
      <c r="H50">
        <v>4</v>
      </c>
      <c r="I50" s="6">
        <v>320101001</v>
      </c>
      <c r="J50" t="s">
        <v>72</v>
      </c>
      <c r="K50" s="18">
        <f>2097590/1000</f>
        <v>2097.59</v>
      </c>
    </row>
    <row r="51" spans="1:11" x14ac:dyDescent="0.25">
      <c r="A51" t="s">
        <v>77</v>
      </c>
      <c r="B51" s="16">
        <v>1271538</v>
      </c>
      <c r="C51" t="s">
        <v>66</v>
      </c>
      <c r="D51" t="s">
        <v>67</v>
      </c>
      <c r="E51" t="s">
        <v>68</v>
      </c>
      <c r="F51">
        <v>1</v>
      </c>
      <c r="G51">
        <v>1</v>
      </c>
      <c r="H51">
        <v>4</v>
      </c>
      <c r="I51" s="6">
        <v>420201001</v>
      </c>
      <c r="J51" t="s">
        <v>70</v>
      </c>
      <c r="K51" s="18">
        <f>7494534/1000</f>
        <v>7494.5339999999997</v>
      </c>
    </row>
    <row r="52" spans="1:11" x14ac:dyDescent="0.25">
      <c r="A52" t="s">
        <v>77</v>
      </c>
      <c r="B52" s="16">
        <v>1271538</v>
      </c>
      <c r="C52" t="s">
        <v>66</v>
      </c>
      <c r="D52" t="s">
        <v>67</v>
      </c>
      <c r="E52" t="s">
        <v>68</v>
      </c>
      <c r="F52">
        <v>1</v>
      </c>
      <c r="G52">
        <v>1</v>
      </c>
      <c r="H52">
        <v>5</v>
      </c>
      <c r="I52" s="6">
        <v>420102004</v>
      </c>
      <c r="J52" t="s">
        <v>76</v>
      </c>
      <c r="K52" s="18">
        <f>90214/1000</f>
        <v>90.213999999999999</v>
      </c>
    </row>
    <row r="53" spans="1:11" x14ac:dyDescent="0.25">
      <c r="A53" t="s">
        <v>77</v>
      </c>
      <c r="B53" s="16">
        <v>1271538</v>
      </c>
      <c r="C53" t="s">
        <v>66</v>
      </c>
      <c r="D53" t="s">
        <v>67</v>
      </c>
      <c r="E53" t="s">
        <v>68</v>
      </c>
      <c r="F53">
        <v>1</v>
      </c>
      <c r="G53">
        <v>1</v>
      </c>
      <c r="H53">
        <v>5</v>
      </c>
      <c r="I53" s="6">
        <v>420201001</v>
      </c>
      <c r="J53" t="s">
        <v>70</v>
      </c>
      <c r="K53" s="18">
        <f>1783957/1000</f>
        <v>1783.9570000000001</v>
      </c>
    </row>
    <row r="54" spans="1:11" x14ac:dyDescent="0.25">
      <c r="A54" t="s">
        <v>77</v>
      </c>
      <c r="B54" s="16">
        <v>1271538</v>
      </c>
      <c r="C54" t="s">
        <v>66</v>
      </c>
      <c r="D54" t="s">
        <v>67</v>
      </c>
      <c r="E54" t="s">
        <v>68</v>
      </c>
      <c r="F54">
        <v>1</v>
      </c>
      <c r="G54">
        <v>1</v>
      </c>
      <c r="H54">
        <v>1</v>
      </c>
      <c r="I54" s="6">
        <v>420105001</v>
      </c>
      <c r="J54" t="s">
        <v>71</v>
      </c>
      <c r="K54" s="18">
        <f>5000/1000</f>
        <v>5</v>
      </c>
    </row>
    <row r="55" spans="1:11" x14ac:dyDescent="0.25">
      <c r="A55" t="s">
        <v>77</v>
      </c>
      <c r="B55" s="16">
        <v>1271538</v>
      </c>
      <c r="C55" t="s">
        <v>66</v>
      </c>
      <c r="D55" t="s">
        <v>67</v>
      </c>
      <c r="E55" t="s">
        <v>68</v>
      </c>
      <c r="F55">
        <v>1</v>
      </c>
      <c r="G55">
        <v>1</v>
      </c>
      <c r="H55">
        <v>9</v>
      </c>
      <c r="I55" s="17">
        <v>820101001</v>
      </c>
      <c r="J55" t="s">
        <v>69</v>
      </c>
      <c r="K55" s="18">
        <f>24001/1000</f>
        <v>24.001000000000001</v>
      </c>
    </row>
    <row r="56" spans="1:11" x14ac:dyDescent="0.25">
      <c r="A56" t="s">
        <v>77</v>
      </c>
      <c r="B56" s="16">
        <v>1271538</v>
      </c>
      <c r="C56" t="s">
        <v>66</v>
      </c>
      <c r="D56" t="s">
        <v>67</v>
      </c>
      <c r="E56" t="s">
        <v>68</v>
      </c>
      <c r="F56">
        <v>1</v>
      </c>
      <c r="G56">
        <v>1</v>
      </c>
      <c r="H56">
        <v>9</v>
      </c>
      <c r="I56" s="6">
        <v>420105001</v>
      </c>
      <c r="J56" t="s">
        <v>71</v>
      </c>
      <c r="K56" s="18">
        <f>2914032/1000</f>
        <v>2914.0320000000002</v>
      </c>
    </row>
    <row r="57" spans="1:11" x14ac:dyDescent="0.25">
      <c r="A57" t="s">
        <v>77</v>
      </c>
      <c r="B57" s="16">
        <v>1271538</v>
      </c>
      <c r="C57" t="s">
        <v>66</v>
      </c>
      <c r="D57" t="s">
        <v>67</v>
      </c>
      <c r="E57" t="s">
        <v>68</v>
      </c>
      <c r="F57">
        <v>1</v>
      </c>
      <c r="G57">
        <v>1</v>
      </c>
      <c r="H57">
        <v>9</v>
      </c>
      <c r="I57" s="6">
        <v>420102004</v>
      </c>
      <c r="J57" t="s">
        <v>76</v>
      </c>
      <c r="K57" s="18">
        <f>981940/1000</f>
        <v>981.94</v>
      </c>
    </row>
    <row r="58" spans="1:11" x14ac:dyDescent="0.25">
      <c r="A58" t="s">
        <v>77</v>
      </c>
      <c r="B58" s="16">
        <v>1271538</v>
      </c>
      <c r="C58" t="s">
        <v>66</v>
      </c>
      <c r="D58" t="s">
        <v>67</v>
      </c>
      <c r="E58" t="s">
        <v>68</v>
      </c>
      <c r="F58">
        <v>1</v>
      </c>
      <c r="G58">
        <v>1</v>
      </c>
      <c r="H58">
        <v>9</v>
      </c>
      <c r="I58" s="6">
        <v>320101001</v>
      </c>
      <c r="J58" t="s">
        <v>72</v>
      </c>
      <c r="K58" s="18">
        <f>451799/1000</f>
        <v>451.79899999999998</v>
      </c>
    </row>
    <row r="59" spans="1:11" x14ac:dyDescent="0.25">
      <c r="A59" t="s">
        <v>77</v>
      </c>
      <c r="B59" s="16">
        <v>1271538</v>
      </c>
      <c r="C59" t="s">
        <v>66</v>
      </c>
      <c r="D59" t="s">
        <v>67</v>
      </c>
      <c r="E59" t="s">
        <v>68</v>
      </c>
      <c r="F59">
        <v>1</v>
      </c>
      <c r="G59">
        <v>1</v>
      </c>
      <c r="H59">
        <v>9</v>
      </c>
      <c r="I59" s="6">
        <v>420201001</v>
      </c>
      <c r="J59" t="s">
        <v>70</v>
      </c>
      <c r="K59" s="18">
        <f>549023/1000</f>
        <v>549.02300000000002</v>
      </c>
    </row>
    <row r="60" spans="1:11" x14ac:dyDescent="0.25">
      <c r="A60" t="s">
        <v>78</v>
      </c>
      <c r="B60" s="16">
        <v>1271538</v>
      </c>
      <c r="C60" t="s">
        <v>66</v>
      </c>
      <c r="D60" t="s">
        <v>67</v>
      </c>
      <c r="E60" t="s">
        <v>68</v>
      </c>
      <c r="F60">
        <v>2</v>
      </c>
      <c r="G60">
        <v>1</v>
      </c>
      <c r="H60">
        <v>5</v>
      </c>
      <c r="I60" s="6">
        <v>420105001</v>
      </c>
      <c r="J60" t="s">
        <v>71</v>
      </c>
      <c r="K60" s="18">
        <f>7376814/1000</f>
        <v>7376.8140000000003</v>
      </c>
    </row>
    <row r="61" spans="1:11" x14ac:dyDescent="0.25">
      <c r="A61" t="s">
        <v>78</v>
      </c>
      <c r="B61" s="16">
        <v>1271538</v>
      </c>
      <c r="C61" t="s">
        <v>66</v>
      </c>
      <c r="D61" t="s">
        <v>67</v>
      </c>
      <c r="E61" t="s">
        <v>68</v>
      </c>
      <c r="F61">
        <v>2</v>
      </c>
      <c r="G61">
        <v>1</v>
      </c>
      <c r="H61">
        <v>5</v>
      </c>
      <c r="I61" s="6">
        <v>420102004</v>
      </c>
      <c r="J61" t="s">
        <v>76</v>
      </c>
      <c r="K61" s="18">
        <f>1387246/1000</f>
        <v>1387.2460000000001</v>
      </c>
    </row>
    <row r="62" spans="1:11" x14ac:dyDescent="0.25">
      <c r="A62" t="s">
        <v>78</v>
      </c>
      <c r="B62" s="16">
        <v>1271538</v>
      </c>
      <c r="C62" t="s">
        <v>66</v>
      </c>
      <c r="D62" t="s">
        <v>67</v>
      </c>
      <c r="E62" t="s">
        <v>68</v>
      </c>
      <c r="F62">
        <v>2</v>
      </c>
      <c r="G62">
        <v>1</v>
      </c>
      <c r="H62">
        <v>5</v>
      </c>
      <c r="I62" s="6">
        <v>320101001</v>
      </c>
      <c r="J62" t="s">
        <v>72</v>
      </c>
      <c r="K62" s="18">
        <f>2793936/1000</f>
        <v>2793.9360000000001</v>
      </c>
    </row>
    <row r="63" spans="1:11" x14ac:dyDescent="0.25">
      <c r="A63" t="s">
        <v>78</v>
      </c>
      <c r="B63" s="16">
        <v>1271538</v>
      </c>
      <c r="C63" t="s">
        <v>66</v>
      </c>
      <c r="D63" t="s">
        <v>67</v>
      </c>
      <c r="E63" t="s">
        <v>68</v>
      </c>
      <c r="F63">
        <v>2</v>
      </c>
      <c r="G63">
        <v>1</v>
      </c>
      <c r="H63">
        <v>5</v>
      </c>
      <c r="I63" s="6">
        <v>420201001</v>
      </c>
      <c r="J63" t="s">
        <v>70</v>
      </c>
      <c r="K63" s="18">
        <f>360874/1000</f>
        <v>360.87400000000002</v>
      </c>
    </row>
    <row r="64" spans="1:11" x14ac:dyDescent="0.25">
      <c r="A64" t="s">
        <v>78</v>
      </c>
      <c r="B64" s="16">
        <v>1271538</v>
      </c>
      <c r="C64" t="s">
        <v>66</v>
      </c>
      <c r="D64" t="s">
        <v>67</v>
      </c>
      <c r="E64" t="s">
        <v>68</v>
      </c>
      <c r="F64">
        <v>2</v>
      </c>
      <c r="G64">
        <v>1</v>
      </c>
      <c r="H64">
        <v>1</v>
      </c>
      <c r="I64" s="6">
        <v>420105001</v>
      </c>
      <c r="J64" t="s">
        <v>71</v>
      </c>
      <c r="K64" s="18">
        <f>600000/1000</f>
        <v>600</v>
      </c>
    </row>
    <row r="65" spans="1:11" x14ac:dyDescent="0.25">
      <c r="A65" t="s">
        <v>78</v>
      </c>
      <c r="B65" s="16">
        <v>1271538</v>
      </c>
      <c r="C65" t="s">
        <v>66</v>
      </c>
      <c r="D65" t="s">
        <v>67</v>
      </c>
      <c r="E65" t="s">
        <v>68</v>
      </c>
      <c r="F65">
        <v>2</v>
      </c>
      <c r="G65">
        <v>1</v>
      </c>
      <c r="H65">
        <v>1</v>
      </c>
      <c r="I65" s="6">
        <v>420201001</v>
      </c>
      <c r="J65" t="s">
        <v>70</v>
      </c>
      <c r="K65" s="18">
        <f>6783546/1000</f>
        <v>6783.5460000000003</v>
      </c>
    </row>
    <row r="66" spans="1:11" x14ac:dyDescent="0.25">
      <c r="A66" t="s">
        <v>78</v>
      </c>
      <c r="B66" s="16">
        <v>1271538</v>
      </c>
      <c r="C66" t="s">
        <v>66</v>
      </c>
      <c r="D66" t="s">
        <v>67</v>
      </c>
      <c r="E66" t="s">
        <v>68</v>
      </c>
      <c r="F66">
        <v>1</v>
      </c>
      <c r="G66">
        <v>1</v>
      </c>
      <c r="H66">
        <v>1</v>
      </c>
      <c r="I66" s="6">
        <v>420105001</v>
      </c>
      <c r="J66" t="s">
        <v>71</v>
      </c>
      <c r="K66" s="18">
        <f>4307157/1000</f>
        <v>4307.1570000000002</v>
      </c>
    </row>
    <row r="67" spans="1:11" x14ac:dyDescent="0.25">
      <c r="A67" t="s">
        <v>78</v>
      </c>
      <c r="B67" s="16">
        <v>1271538</v>
      </c>
      <c r="C67" t="s">
        <v>66</v>
      </c>
      <c r="D67" t="s">
        <v>67</v>
      </c>
      <c r="E67" t="s">
        <v>68</v>
      </c>
      <c r="F67">
        <v>1</v>
      </c>
      <c r="G67">
        <v>1</v>
      </c>
      <c r="H67">
        <v>1</v>
      </c>
      <c r="I67" s="6">
        <v>420102004</v>
      </c>
      <c r="J67" t="s">
        <v>76</v>
      </c>
      <c r="K67" s="18">
        <f>35000/1000</f>
        <v>35</v>
      </c>
    </row>
    <row r="68" spans="1:11" x14ac:dyDescent="0.25">
      <c r="A68" t="s">
        <v>78</v>
      </c>
      <c r="B68" s="16">
        <v>1271538</v>
      </c>
      <c r="C68" t="s">
        <v>66</v>
      </c>
      <c r="D68" t="s">
        <v>67</v>
      </c>
      <c r="E68" t="s">
        <v>68</v>
      </c>
      <c r="F68">
        <v>1</v>
      </c>
      <c r="G68">
        <v>1</v>
      </c>
      <c r="H68">
        <v>4</v>
      </c>
      <c r="I68" s="6">
        <v>420105001</v>
      </c>
      <c r="J68" t="s">
        <v>71</v>
      </c>
      <c r="K68" s="18">
        <f>1722714/1000</f>
        <v>1722.7139999999999</v>
      </c>
    </row>
    <row r="69" spans="1:11" x14ac:dyDescent="0.25">
      <c r="A69" t="s">
        <v>78</v>
      </c>
      <c r="B69" s="16">
        <v>1271538</v>
      </c>
      <c r="C69" t="s">
        <v>66</v>
      </c>
      <c r="D69" t="s">
        <v>67</v>
      </c>
      <c r="E69" t="s">
        <v>68</v>
      </c>
      <c r="F69">
        <v>1</v>
      </c>
      <c r="G69">
        <v>1</v>
      </c>
      <c r="H69">
        <v>4</v>
      </c>
      <c r="I69" s="6">
        <v>420102004</v>
      </c>
      <c r="J69" t="s">
        <v>76</v>
      </c>
      <c r="K69" s="18">
        <f>911096/1000</f>
        <v>911.096</v>
      </c>
    </row>
    <row r="70" spans="1:11" x14ac:dyDescent="0.25">
      <c r="A70" t="s">
        <v>78</v>
      </c>
      <c r="B70" s="16">
        <v>1271538</v>
      </c>
      <c r="C70" t="s">
        <v>66</v>
      </c>
      <c r="D70" t="s">
        <v>67</v>
      </c>
      <c r="E70" t="s">
        <v>68</v>
      </c>
      <c r="F70">
        <v>1</v>
      </c>
      <c r="G70">
        <v>1</v>
      </c>
      <c r="H70">
        <v>4</v>
      </c>
      <c r="I70" s="6">
        <v>320101001</v>
      </c>
      <c r="J70" t="s">
        <v>72</v>
      </c>
      <c r="K70" s="18">
        <f>4416774/1000</f>
        <v>4416.7740000000003</v>
      </c>
    </row>
    <row r="71" spans="1:11" x14ac:dyDescent="0.25">
      <c r="A71" t="s">
        <v>78</v>
      </c>
      <c r="B71" s="16">
        <v>1271538</v>
      </c>
      <c r="C71" t="s">
        <v>66</v>
      </c>
      <c r="D71" t="s">
        <v>67</v>
      </c>
      <c r="E71" t="s">
        <v>68</v>
      </c>
      <c r="F71">
        <v>1</v>
      </c>
      <c r="G71">
        <v>1</v>
      </c>
      <c r="H71">
        <v>4</v>
      </c>
      <c r="I71" s="6">
        <v>420201001</v>
      </c>
      <c r="J71" t="s">
        <v>70</v>
      </c>
      <c r="K71" s="18">
        <f>3726143/1000</f>
        <v>3726.143</v>
      </c>
    </row>
    <row r="72" spans="1:11" x14ac:dyDescent="0.25">
      <c r="A72" t="s">
        <v>78</v>
      </c>
      <c r="B72" s="16">
        <v>1271538</v>
      </c>
      <c r="C72" t="s">
        <v>66</v>
      </c>
      <c r="D72" t="s">
        <v>67</v>
      </c>
      <c r="E72" t="s">
        <v>68</v>
      </c>
      <c r="F72">
        <v>1</v>
      </c>
      <c r="G72">
        <v>1</v>
      </c>
      <c r="H72">
        <v>4</v>
      </c>
      <c r="I72" s="6">
        <v>420201001</v>
      </c>
      <c r="J72" t="s">
        <v>70</v>
      </c>
      <c r="K72" s="18">
        <f>6778305/1000</f>
        <v>6778.3050000000003</v>
      </c>
    </row>
    <row r="73" spans="1:11" x14ac:dyDescent="0.25">
      <c r="A73" t="s">
        <v>78</v>
      </c>
      <c r="B73" s="16">
        <v>1271538</v>
      </c>
      <c r="C73" t="s">
        <v>66</v>
      </c>
      <c r="D73" t="s">
        <v>67</v>
      </c>
      <c r="E73" t="s">
        <v>68</v>
      </c>
      <c r="F73">
        <v>1</v>
      </c>
      <c r="G73">
        <v>1</v>
      </c>
      <c r="H73">
        <v>5</v>
      </c>
      <c r="I73" s="6">
        <v>420201001</v>
      </c>
      <c r="J73" t="s">
        <v>70</v>
      </c>
      <c r="K73" s="18">
        <f>3110448/1000</f>
        <v>3110.4479999999999</v>
      </c>
    </row>
    <row r="74" spans="1:11" x14ac:dyDescent="0.25">
      <c r="A74" t="s">
        <v>79</v>
      </c>
      <c r="B74" s="16">
        <v>1271538</v>
      </c>
      <c r="C74" t="s">
        <v>66</v>
      </c>
      <c r="D74" t="s">
        <v>67</v>
      </c>
      <c r="E74" t="s">
        <v>68</v>
      </c>
      <c r="F74">
        <v>2</v>
      </c>
      <c r="G74">
        <v>1</v>
      </c>
      <c r="H74">
        <v>5</v>
      </c>
      <c r="I74" s="6">
        <v>420105001</v>
      </c>
      <c r="J74" t="s">
        <v>71</v>
      </c>
      <c r="K74" s="18">
        <f>4999824/1000</f>
        <v>4999.8239999999996</v>
      </c>
    </row>
    <row r="75" spans="1:11" x14ac:dyDescent="0.25">
      <c r="A75" t="s">
        <v>79</v>
      </c>
      <c r="B75" s="16">
        <v>1271538</v>
      </c>
      <c r="C75" t="s">
        <v>66</v>
      </c>
      <c r="D75" t="s">
        <v>67</v>
      </c>
      <c r="E75" t="s">
        <v>68</v>
      </c>
      <c r="F75">
        <v>2</v>
      </c>
      <c r="G75">
        <v>1</v>
      </c>
      <c r="H75">
        <v>5</v>
      </c>
      <c r="I75" s="6">
        <v>420102004</v>
      </c>
      <c r="J75" t="s">
        <v>76</v>
      </c>
      <c r="K75" s="18">
        <f>640303/1000</f>
        <v>640.303</v>
      </c>
    </row>
    <row r="76" spans="1:11" x14ac:dyDescent="0.25">
      <c r="A76" t="s">
        <v>79</v>
      </c>
      <c r="B76" s="16">
        <v>1271538</v>
      </c>
      <c r="C76" t="s">
        <v>66</v>
      </c>
      <c r="D76" t="s">
        <v>67</v>
      </c>
      <c r="E76" t="s">
        <v>68</v>
      </c>
      <c r="F76">
        <v>2</v>
      </c>
      <c r="G76">
        <v>1</v>
      </c>
      <c r="H76">
        <v>5</v>
      </c>
      <c r="I76" s="6">
        <v>320101001</v>
      </c>
      <c r="J76" t="s">
        <v>72</v>
      </c>
      <c r="K76" s="18">
        <f>3233513/1000</f>
        <v>3233.5129999999999</v>
      </c>
    </row>
    <row r="77" spans="1:11" x14ac:dyDescent="0.25">
      <c r="A77" t="s">
        <v>79</v>
      </c>
      <c r="B77" s="16">
        <v>1271538</v>
      </c>
      <c r="C77" t="s">
        <v>66</v>
      </c>
      <c r="D77" t="s">
        <v>67</v>
      </c>
      <c r="E77" t="s">
        <v>68</v>
      </c>
      <c r="F77">
        <v>2</v>
      </c>
      <c r="G77">
        <v>1</v>
      </c>
      <c r="H77">
        <v>1</v>
      </c>
      <c r="I77" s="6">
        <v>420201001</v>
      </c>
      <c r="J77" t="s">
        <v>70</v>
      </c>
      <c r="K77" s="18">
        <f>8161820/1000</f>
        <v>8161.82</v>
      </c>
    </row>
    <row r="78" spans="1:11" x14ac:dyDescent="0.25">
      <c r="A78" t="s">
        <v>79</v>
      </c>
      <c r="B78" s="16">
        <v>1271538</v>
      </c>
      <c r="C78" t="s">
        <v>66</v>
      </c>
      <c r="D78" t="s">
        <v>67</v>
      </c>
      <c r="E78" t="s">
        <v>68</v>
      </c>
      <c r="F78">
        <v>1</v>
      </c>
      <c r="G78">
        <v>1</v>
      </c>
      <c r="H78">
        <v>1</v>
      </c>
      <c r="I78" s="6">
        <v>420102004</v>
      </c>
      <c r="J78" t="s">
        <v>76</v>
      </c>
      <c r="K78" s="18">
        <f>7914/1000</f>
        <v>7.9139999999999997</v>
      </c>
    </row>
    <row r="79" spans="1:11" x14ac:dyDescent="0.25">
      <c r="A79" t="s">
        <v>79</v>
      </c>
      <c r="B79" s="16">
        <v>1271538</v>
      </c>
      <c r="C79" t="s">
        <v>66</v>
      </c>
      <c r="D79" t="s">
        <v>67</v>
      </c>
      <c r="E79" t="s">
        <v>68</v>
      </c>
      <c r="F79">
        <v>1</v>
      </c>
      <c r="G79">
        <v>1</v>
      </c>
      <c r="H79">
        <v>4</v>
      </c>
      <c r="I79" s="6">
        <v>420105001</v>
      </c>
      <c r="J79" t="s">
        <v>71</v>
      </c>
      <c r="K79" s="18">
        <f>5249137/1000</f>
        <v>5249.1369999999997</v>
      </c>
    </row>
    <row r="80" spans="1:11" x14ac:dyDescent="0.25">
      <c r="A80" t="s">
        <v>79</v>
      </c>
      <c r="B80" s="16">
        <v>1271538</v>
      </c>
      <c r="C80" t="s">
        <v>66</v>
      </c>
      <c r="D80" t="s">
        <v>67</v>
      </c>
      <c r="E80" t="s">
        <v>68</v>
      </c>
      <c r="F80">
        <v>1</v>
      </c>
      <c r="G80">
        <v>1</v>
      </c>
      <c r="H80">
        <v>4</v>
      </c>
      <c r="I80" s="6">
        <v>420102004</v>
      </c>
      <c r="J80" t="s">
        <v>76</v>
      </c>
      <c r="K80" s="18">
        <f>784255/1000</f>
        <v>784.255</v>
      </c>
    </row>
    <row r="81" spans="1:11" x14ac:dyDescent="0.25">
      <c r="A81" t="s">
        <v>79</v>
      </c>
      <c r="B81" s="16">
        <v>1271538</v>
      </c>
      <c r="C81" t="s">
        <v>66</v>
      </c>
      <c r="D81" t="s">
        <v>67</v>
      </c>
      <c r="E81" t="s">
        <v>68</v>
      </c>
      <c r="F81">
        <v>1</v>
      </c>
      <c r="G81">
        <v>1</v>
      </c>
      <c r="H81">
        <v>4</v>
      </c>
      <c r="I81" s="6">
        <v>320101001</v>
      </c>
      <c r="J81" t="s">
        <v>72</v>
      </c>
      <c r="K81" s="18">
        <f>1799934/1000</f>
        <v>1799.934</v>
      </c>
    </row>
    <row r="82" spans="1:11" x14ac:dyDescent="0.25">
      <c r="A82" t="s">
        <v>79</v>
      </c>
      <c r="B82" s="16">
        <v>1271538</v>
      </c>
      <c r="C82" t="s">
        <v>66</v>
      </c>
      <c r="D82" t="s">
        <v>67</v>
      </c>
      <c r="E82" t="s">
        <v>68</v>
      </c>
      <c r="F82">
        <v>1</v>
      </c>
      <c r="G82">
        <v>1</v>
      </c>
      <c r="H82">
        <v>5</v>
      </c>
      <c r="I82" s="6">
        <v>420201001</v>
      </c>
      <c r="J82" t="s">
        <v>70</v>
      </c>
      <c r="K82" s="18">
        <f>794967/1000</f>
        <v>794.96699999999998</v>
      </c>
    </row>
    <row r="83" spans="1:11" x14ac:dyDescent="0.25">
      <c r="A83" t="s">
        <v>80</v>
      </c>
      <c r="B83" s="16">
        <v>1271538</v>
      </c>
      <c r="C83" t="s">
        <v>66</v>
      </c>
      <c r="D83" t="s">
        <v>67</v>
      </c>
      <c r="E83" t="s">
        <v>68</v>
      </c>
      <c r="F83">
        <v>1</v>
      </c>
      <c r="G83">
        <v>1</v>
      </c>
      <c r="H83">
        <v>5</v>
      </c>
      <c r="I83" s="6">
        <v>420105001</v>
      </c>
      <c r="J83" t="s">
        <v>71</v>
      </c>
      <c r="K83" s="18">
        <f>2196193/1000</f>
        <v>2196.1930000000002</v>
      </c>
    </row>
    <row r="84" spans="1:11" x14ac:dyDescent="0.25">
      <c r="A84" t="s">
        <v>80</v>
      </c>
      <c r="B84" s="16">
        <v>1271538</v>
      </c>
      <c r="C84" t="s">
        <v>66</v>
      </c>
      <c r="D84" t="s">
        <v>67</v>
      </c>
      <c r="E84" t="s">
        <v>68</v>
      </c>
      <c r="F84">
        <v>1</v>
      </c>
      <c r="G84">
        <v>1</v>
      </c>
      <c r="H84">
        <v>5</v>
      </c>
      <c r="I84" s="6">
        <v>420102004</v>
      </c>
      <c r="J84" t="s">
        <v>76</v>
      </c>
      <c r="K84" s="18">
        <f>761857/1000</f>
        <v>761.85699999999997</v>
      </c>
    </row>
    <row r="85" spans="1:11" x14ac:dyDescent="0.25">
      <c r="A85" t="s">
        <v>80</v>
      </c>
      <c r="B85" s="16">
        <v>1271538</v>
      </c>
      <c r="C85" t="s">
        <v>66</v>
      </c>
      <c r="D85" t="s">
        <v>67</v>
      </c>
      <c r="E85" t="s">
        <v>68</v>
      </c>
      <c r="F85">
        <v>1</v>
      </c>
      <c r="G85">
        <v>1</v>
      </c>
      <c r="H85">
        <v>5</v>
      </c>
      <c r="I85" s="6">
        <v>420201001</v>
      </c>
      <c r="J85" t="s">
        <v>70</v>
      </c>
      <c r="K85" s="18">
        <f>1789761/1000</f>
        <v>1789.761</v>
      </c>
    </row>
    <row r="86" spans="1:11" x14ac:dyDescent="0.25">
      <c r="A86" t="s">
        <v>80</v>
      </c>
      <c r="B86" s="16">
        <v>1271538</v>
      </c>
      <c r="C86" t="s">
        <v>66</v>
      </c>
      <c r="D86" t="s">
        <v>67</v>
      </c>
      <c r="E86" t="s">
        <v>68</v>
      </c>
      <c r="F86">
        <v>2</v>
      </c>
      <c r="G86">
        <v>1</v>
      </c>
      <c r="H86">
        <v>5</v>
      </c>
      <c r="I86" s="6">
        <v>420105001</v>
      </c>
      <c r="J86" t="s">
        <v>71</v>
      </c>
      <c r="K86" s="18">
        <f>5432300/1000</f>
        <v>5432.3</v>
      </c>
    </row>
    <row r="87" spans="1:11" x14ac:dyDescent="0.25">
      <c r="A87" t="s">
        <v>80</v>
      </c>
      <c r="B87" s="16">
        <v>1271538</v>
      </c>
      <c r="C87" t="s">
        <v>66</v>
      </c>
      <c r="D87" t="s">
        <v>67</v>
      </c>
      <c r="E87" t="s">
        <v>68</v>
      </c>
      <c r="F87">
        <v>2</v>
      </c>
      <c r="G87">
        <v>1</v>
      </c>
      <c r="H87">
        <v>5</v>
      </c>
      <c r="I87" s="6">
        <v>420102004</v>
      </c>
      <c r="J87" t="s">
        <v>76</v>
      </c>
      <c r="K87" s="18">
        <f>692350/1000</f>
        <v>692.35</v>
      </c>
    </row>
    <row r="88" spans="1:11" x14ac:dyDescent="0.25">
      <c r="A88" t="s">
        <v>80</v>
      </c>
      <c r="B88" s="16">
        <v>1271538</v>
      </c>
      <c r="C88" t="s">
        <v>66</v>
      </c>
      <c r="D88" t="s">
        <v>67</v>
      </c>
      <c r="E88" t="s">
        <v>68</v>
      </c>
      <c r="F88">
        <v>2</v>
      </c>
      <c r="G88">
        <v>1</v>
      </c>
      <c r="H88">
        <v>5</v>
      </c>
      <c r="I88" s="6">
        <v>320101001</v>
      </c>
      <c r="J88" t="s">
        <v>72</v>
      </c>
      <c r="K88" s="18">
        <f>2570913/1000</f>
        <v>2570.913</v>
      </c>
    </row>
    <row r="89" spans="1:11" x14ac:dyDescent="0.25">
      <c r="A89" t="s">
        <v>80</v>
      </c>
      <c r="B89" s="16">
        <v>1271538</v>
      </c>
      <c r="C89" t="s">
        <v>66</v>
      </c>
      <c r="D89" t="s">
        <v>67</v>
      </c>
      <c r="E89" t="s">
        <v>68</v>
      </c>
      <c r="F89">
        <v>2</v>
      </c>
      <c r="G89">
        <v>1</v>
      </c>
      <c r="H89">
        <v>1</v>
      </c>
      <c r="I89" s="6">
        <v>420201001</v>
      </c>
      <c r="J89" t="s">
        <v>70</v>
      </c>
      <c r="K89" s="18">
        <f>6676049/1000</f>
        <v>6676.049</v>
      </c>
    </row>
    <row r="90" spans="1:11" x14ac:dyDescent="0.25">
      <c r="A90" t="s">
        <v>81</v>
      </c>
      <c r="B90" s="16">
        <v>1271538</v>
      </c>
      <c r="C90" t="s">
        <v>66</v>
      </c>
      <c r="D90" t="s">
        <v>67</v>
      </c>
      <c r="E90" t="s">
        <v>68</v>
      </c>
      <c r="F90">
        <v>1</v>
      </c>
      <c r="G90">
        <v>1</v>
      </c>
      <c r="H90">
        <v>5</v>
      </c>
      <c r="I90" s="6">
        <v>420102004</v>
      </c>
      <c r="J90" t="s">
        <v>76</v>
      </c>
      <c r="K90" s="18">
        <f>1092291/1000</f>
        <v>1092.2909999999999</v>
      </c>
    </row>
    <row r="91" spans="1:11" x14ac:dyDescent="0.25">
      <c r="A91" t="s">
        <v>81</v>
      </c>
      <c r="B91" s="16">
        <v>1271538</v>
      </c>
      <c r="C91" t="s">
        <v>66</v>
      </c>
      <c r="D91" t="s">
        <v>67</v>
      </c>
      <c r="E91" t="s">
        <v>68</v>
      </c>
      <c r="F91">
        <v>1</v>
      </c>
      <c r="G91">
        <v>1</v>
      </c>
      <c r="H91">
        <v>5</v>
      </c>
      <c r="I91" s="6">
        <v>420201001</v>
      </c>
      <c r="J91" t="s">
        <v>70</v>
      </c>
      <c r="K91" s="18">
        <f>4245717/1000</f>
        <v>4245.7169999999996</v>
      </c>
    </row>
    <row r="92" spans="1:11" x14ac:dyDescent="0.25">
      <c r="A92" t="s">
        <v>81</v>
      </c>
      <c r="B92" s="16">
        <v>1271538</v>
      </c>
      <c r="C92" t="s">
        <v>66</v>
      </c>
      <c r="D92" t="s">
        <v>67</v>
      </c>
      <c r="E92" t="s">
        <v>68</v>
      </c>
      <c r="F92">
        <v>2</v>
      </c>
      <c r="G92">
        <v>1</v>
      </c>
      <c r="H92">
        <v>5</v>
      </c>
      <c r="I92" s="6">
        <v>420105001</v>
      </c>
      <c r="J92" t="s">
        <v>71</v>
      </c>
      <c r="K92" s="18">
        <f>7344344/1000</f>
        <v>7344.3440000000001</v>
      </c>
    </row>
    <row r="93" spans="1:11" x14ac:dyDescent="0.25">
      <c r="A93" t="s">
        <v>81</v>
      </c>
      <c r="B93" s="16">
        <v>1271538</v>
      </c>
      <c r="C93" t="s">
        <v>66</v>
      </c>
      <c r="D93" t="s">
        <v>67</v>
      </c>
      <c r="E93" t="s">
        <v>68</v>
      </c>
      <c r="F93">
        <v>2</v>
      </c>
      <c r="G93">
        <v>1</v>
      </c>
      <c r="H93">
        <v>5</v>
      </c>
      <c r="I93" s="6">
        <v>420102004</v>
      </c>
      <c r="J93" t="s">
        <v>76</v>
      </c>
      <c r="K93" s="18">
        <f>1981554/1000</f>
        <v>1981.5540000000001</v>
      </c>
    </row>
    <row r="94" spans="1:11" x14ac:dyDescent="0.25">
      <c r="A94" t="s">
        <v>81</v>
      </c>
      <c r="B94" s="16">
        <v>1271538</v>
      </c>
      <c r="C94" t="s">
        <v>66</v>
      </c>
      <c r="D94" t="s">
        <v>67</v>
      </c>
      <c r="E94" t="s">
        <v>68</v>
      </c>
      <c r="F94">
        <v>2</v>
      </c>
      <c r="G94">
        <v>1</v>
      </c>
      <c r="H94">
        <v>5</v>
      </c>
      <c r="I94" s="6">
        <v>320101001</v>
      </c>
      <c r="J94" t="s">
        <v>72</v>
      </c>
      <c r="K94" s="18">
        <f>1480969/1000</f>
        <v>1480.9690000000001</v>
      </c>
    </row>
    <row r="95" spans="1:11" x14ac:dyDescent="0.25">
      <c r="A95" t="s">
        <v>81</v>
      </c>
      <c r="B95" s="16">
        <v>1271538</v>
      </c>
      <c r="C95" t="s">
        <v>66</v>
      </c>
      <c r="D95" t="s">
        <v>67</v>
      </c>
      <c r="E95" t="s">
        <v>68</v>
      </c>
      <c r="F95">
        <v>2</v>
      </c>
      <c r="G95">
        <v>1</v>
      </c>
      <c r="H95">
        <v>1</v>
      </c>
      <c r="I95" s="6">
        <v>420105001</v>
      </c>
      <c r="J95" t="s">
        <v>71</v>
      </c>
      <c r="K95" s="18">
        <f>542075/1000</f>
        <v>542.07500000000005</v>
      </c>
    </row>
    <row r="96" spans="1:11" x14ac:dyDescent="0.25">
      <c r="A96" t="s">
        <v>81</v>
      </c>
      <c r="B96" s="16">
        <v>1271538</v>
      </c>
      <c r="C96" t="s">
        <v>66</v>
      </c>
      <c r="D96" t="s">
        <v>67</v>
      </c>
      <c r="E96" t="s">
        <v>68</v>
      </c>
      <c r="F96">
        <v>2</v>
      </c>
      <c r="G96">
        <v>1</v>
      </c>
      <c r="H96">
        <v>1</v>
      </c>
      <c r="I96" s="6">
        <v>420201001</v>
      </c>
      <c r="J96" t="s">
        <v>70</v>
      </c>
      <c r="K96" s="18">
        <f>5469718/1000</f>
        <v>5469.7179999999998</v>
      </c>
    </row>
    <row r="97" spans="1:11" x14ac:dyDescent="0.25">
      <c r="A97" t="s">
        <v>82</v>
      </c>
      <c r="B97" s="16">
        <v>1271538</v>
      </c>
      <c r="C97" t="s">
        <v>66</v>
      </c>
      <c r="D97" t="s">
        <v>67</v>
      </c>
      <c r="E97" t="s">
        <v>68</v>
      </c>
      <c r="F97">
        <v>1</v>
      </c>
      <c r="G97">
        <v>1</v>
      </c>
      <c r="H97">
        <v>5</v>
      </c>
      <c r="I97" s="6">
        <v>420105001</v>
      </c>
      <c r="J97" t="s">
        <v>71</v>
      </c>
      <c r="K97" s="18">
        <f>693593/1000</f>
        <v>693.59299999999996</v>
      </c>
    </row>
    <row r="98" spans="1:11" x14ac:dyDescent="0.25">
      <c r="A98" t="s">
        <v>82</v>
      </c>
      <c r="B98" s="16">
        <v>1271538</v>
      </c>
      <c r="C98" t="s">
        <v>66</v>
      </c>
      <c r="D98" t="s">
        <v>67</v>
      </c>
      <c r="E98" t="s">
        <v>68</v>
      </c>
      <c r="F98">
        <v>1</v>
      </c>
      <c r="G98">
        <v>1</v>
      </c>
      <c r="H98">
        <v>5</v>
      </c>
      <c r="I98" s="6">
        <v>420201001</v>
      </c>
      <c r="J98" t="s">
        <v>70</v>
      </c>
      <c r="K98" s="18">
        <f>2619187/1000</f>
        <v>2619.1869999999999</v>
      </c>
    </row>
    <row r="99" spans="1:11" x14ac:dyDescent="0.25">
      <c r="A99" t="s">
        <v>82</v>
      </c>
      <c r="B99" s="16">
        <v>1271538</v>
      </c>
      <c r="C99" t="s">
        <v>66</v>
      </c>
      <c r="D99" t="s">
        <v>67</v>
      </c>
      <c r="E99" t="s">
        <v>68</v>
      </c>
      <c r="F99">
        <v>2</v>
      </c>
      <c r="G99">
        <v>1</v>
      </c>
      <c r="H99">
        <v>5</v>
      </c>
      <c r="I99" s="6">
        <v>420105001</v>
      </c>
      <c r="J99" t="s">
        <v>71</v>
      </c>
      <c r="K99" s="18">
        <f>8092809/1000</f>
        <v>8092.8090000000002</v>
      </c>
    </row>
    <row r="100" spans="1:11" x14ac:dyDescent="0.25">
      <c r="A100" t="s">
        <v>82</v>
      </c>
      <c r="B100" s="16">
        <v>1271538</v>
      </c>
      <c r="C100" t="s">
        <v>66</v>
      </c>
      <c r="D100" t="s">
        <v>67</v>
      </c>
      <c r="E100" t="s">
        <v>68</v>
      </c>
      <c r="F100">
        <v>2</v>
      </c>
      <c r="G100">
        <v>1</v>
      </c>
      <c r="H100">
        <v>5</v>
      </c>
      <c r="I100" s="6">
        <v>420102004</v>
      </c>
      <c r="J100" t="s">
        <v>76</v>
      </c>
      <c r="K100" s="18">
        <f>1245980/1000</f>
        <v>1245.98</v>
      </c>
    </row>
    <row r="101" spans="1:11" x14ac:dyDescent="0.25">
      <c r="A101" t="s">
        <v>82</v>
      </c>
      <c r="B101" s="16">
        <v>1271538</v>
      </c>
      <c r="C101" t="s">
        <v>66</v>
      </c>
      <c r="D101" t="s">
        <v>67</v>
      </c>
      <c r="E101" t="s">
        <v>68</v>
      </c>
      <c r="F101">
        <v>2</v>
      </c>
      <c r="G101">
        <v>1</v>
      </c>
      <c r="H101">
        <v>5</v>
      </c>
      <c r="I101" s="6">
        <v>320101001</v>
      </c>
      <c r="J101" t="s">
        <v>72</v>
      </c>
      <c r="K101" s="18">
        <f>3194756/1000</f>
        <v>3194.7559999999999</v>
      </c>
    </row>
    <row r="102" spans="1:11" x14ac:dyDescent="0.25">
      <c r="A102" t="s">
        <v>82</v>
      </c>
      <c r="B102" s="16">
        <v>1271538</v>
      </c>
      <c r="C102" t="s">
        <v>66</v>
      </c>
      <c r="D102" t="s">
        <v>67</v>
      </c>
      <c r="E102" t="s">
        <v>68</v>
      </c>
      <c r="F102">
        <v>2</v>
      </c>
      <c r="G102">
        <v>1</v>
      </c>
      <c r="H102">
        <v>1</v>
      </c>
      <c r="I102" s="6">
        <v>420201001</v>
      </c>
      <c r="J102" t="s">
        <v>70</v>
      </c>
      <c r="K102" s="18">
        <f>6292597/1000</f>
        <v>6292.5969999999998</v>
      </c>
    </row>
    <row r="103" spans="1:11" x14ac:dyDescent="0.25">
      <c r="A103" t="s">
        <v>83</v>
      </c>
      <c r="B103" s="16">
        <v>1271538</v>
      </c>
      <c r="C103" t="s">
        <v>66</v>
      </c>
      <c r="D103" t="s">
        <v>67</v>
      </c>
      <c r="E103" t="s">
        <v>68</v>
      </c>
      <c r="F103">
        <v>1</v>
      </c>
      <c r="G103">
        <v>1</v>
      </c>
      <c r="H103">
        <v>1</v>
      </c>
      <c r="I103" s="6">
        <v>420105001</v>
      </c>
      <c r="J103" t="s">
        <v>71</v>
      </c>
      <c r="K103" s="18">
        <f>89283/1000</f>
        <v>89.283000000000001</v>
      </c>
    </row>
    <row r="104" spans="1:11" x14ac:dyDescent="0.25">
      <c r="A104" t="s">
        <v>83</v>
      </c>
      <c r="B104" s="16">
        <v>1271538</v>
      </c>
      <c r="C104" t="s">
        <v>66</v>
      </c>
      <c r="D104" t="s">
        <v>67</v>
      </c>
      <c r="E104" t="s">
        <v>68</v>
      </c>
      <c r="F104">
        <v>1</v>
      </c>
      <c r="G104">
        <v>1</v>
      </c>
      <c r="H104">
        <v>5</v>
      </c>
      <c r="I104" s="6">
        <v>420105001</v>
      </c>
      <c r="J104" t="s">
        <v>71</v>
      </c>
      <c r="K104" s="18">
        <f>1046744/1000</f>
        <v>1046.7439999999999</v>
      </c>
    </row>
    <row r="105" spans="1:11" x14ac:dyDescent="0.25">
      <c r="A105" t="s">
        <v>83</v>
      </c>
      <c r="B105" s="16">
        <v>1271538</v>
      </c>
      <c r="C105" t="s">
        <v>66</v>
      </c>
      <c r="D105" t="s">
        <v>67</v>
      </c>
      <c r="E105" t="s">
        <v>68</v>
      </c>
      <c r="F105">
        <v>1</v>
      </c>
      <c r="G105">
        <v>1</v>
      </c>
      <c r="H105">
        <v>5</v>
      </c>
      <c r="I105" s="6">
        <v>420102004</v>
      </c>
      <c r="J105" t="s">
        <v>76</v>
      </c>
      <c r="K105" s="18">
        <f>1994702/1000</f>
        <v>1994.702</v>
      </c>
    </row>
    <row r="106" spans="1:11" x14ac:dyDescent="0.25">
      <c r="A106" t="s">
        <v>83</v>
      </c>
      <c r="B106" s="16">
        <v>1271538</v>
      </c>
      <c r="C106" t="s">
        <v>66</v>
      </c>
      <c r="D106" t="s">
        <v>67</v>
      </c>
      <c r="E106" t="s">
        <v>68</v>
      </c>
      <c r="F106">
        <v>1</v>
      </c>
      <c r="G106">
        <v>1</v>
      </c>
      <c r="H106">
        <v>5</v>
      </c>
      <c r="I106" s="6">
        <v>420201001</v>
      </c>
      <c r="J106" t="s">
        <v>70</v>
      </c>
      <c r="K106" s="18">
        <f>2504337/1000</f>
        <v>2504.337</v>
      </c>
    </row>
    <row r="107" spans="1:11" x14ac:dyDescent="0.25">
      <c r="A107" t="s">
        <v>83</v>
      </c>
      <c r="B107" s="16">
        <v>1271538</v>
      </c>
      <c r="C107" t="s">
        <v>66</v>
      </c>
      <c r="D107" t="s">
        <v>67</v>
      </c>
      <c r="E107" t="s">
        <v>68</v>
      </c>
      <c r="F107">
        <v>2</v>
      </c>
      <c r="G107">
        <v>1</v>
      </c>
      <c r="H107">
        <v>5</v>
      </c>
      <c r="I107" s="6">
        <v>420105001</v>
      </c>
      <c r="J107" t="s">
        <v>71</v>
      </c>
      <c r="K107" s="18">
        <f>8750248/1000</f>
        <v>8750.2479999999996</v>
      </c>
    </row>
    <row r="108" spans="1:11" x14ac:dyDescent="0.25">
      <c r="A108" t="s">
        <v>83</v>
      </c>
      <c r="B108" s="16">
        <v>1271538</v>
      </c>
      <c r="C108" t="s">
        <v>66</v>
      </c>
      <c r="D108" t="s">
        <v>67</v>
      </c>
      <c r="E108" t="s">
        <v>68</v>
      </c>
      <c r="F108">
        <v>2</v>
      </c>
      <c r="G108">
        <v>1</v>
      </c>
      <c r="H108">
        <v>5</v>
      </c>
      <c r="I108" s="6">
        <v>420102004</v>
      </c>
      <c r="J108" t="s">
        <v>76</v>
      </c>
      <c r="K108" s="18">
        <f>3447151/1000</f>
        <v>3447.1509999999998</v>
      </c>
    </row>
    <row r="109" spans="1:11" x14ac:dyDescent="0.25">
      <c r="A109" t="s">
        <v>83</v>
      </c>
      <c r="B109" s="16">
        <v>1271538</v>
      </c>
      <c r="C109" t="s">
        <v>66</v>
      </c>
      <c r="D109" t="s">
        <v>67</v>
      </c>
      <c r="E109" t="s">
        <v>68</v>
      </c>
      <c r="F109">
        <v>2</v>
      </c>
      <c r="G109">
        <v>1</v>
      </c>
      <c r="H109">
        <v>5</v>
      </c>
      <c r="I109" s="6">
        <v>320101001</v>
      </c>
      <c r="J109" t="s">
        <v>72</v>
      </c>
      <c r="K109" s="18">
        <f>2712681/1000</f>
        <v>2712.681</v>
      </c>
    </row>
    <row r="110" spans="1:11" x14ac:dyDescent="0.25">
      <c r="A110" t="s">
        <v>83</v>
      </c>
      <c r="B110" s="16">
        <v>1271538</v>
      </c>
      <c r="C110" t="s">
        <v>66</v>
      </c>
      <c r="D110" t="s">
        <v>67</v>
      </c>
      <c r="E110" t="s">
        <v>68</v>
      </c>
      <c r="F110">
        <v>2</v>
      </c>
      <c r="G110">
        <v>1</v>
      </c>
      <c r="H110">
        <v>1</v>
      </c>
      <c r="I110" s="6">
        <v>420201001</v>
      </c>
      <c r="J110" t="s">
        <v>70</v>
      </c>
      <c r="K110" s="18">
        <f>6642069/1000</f>
        <v>6642.0690000000004</v>
      </c>
    </row>
    <row r="111" spans="1:11" x14ac:dyDescent="0.25">
      <c r="A111" t="s">
        <v>84</v>
      </c>
      <c r="B111" s="16">
        <v>1271538</v>
      </c>
      <c r="C111" t="s">
        <v>66</v>
      </c>
      <c r="D111" t="s">
        <v>67</v>
      </c>
      <c r="E111" t="s">
        <v>68</v>
      </c>
      <c r="F111">
        <v>1</v>
      </c>
      <c r="G111">
        <v>1</v>
      </c>
      <c r="H111">
        <v>4</v>
      </c>
      <c r="I111" s="6">
        <v>420201001</v>
      </c>
      <c r="J111" t="s">
        <v>70</v>
      </c>
      <c r="K111" s="18">
        <f>3566250/1000</f>
        <v>3566.25</v>
      </c>
    </row>
    <row r="112" spans="1:11" x14ac:dyDescent="0.25">
      <c r="A112" t="s">
        <v>84</v>
      </c>
      <c r="B112" s="16">
        <v>1271538</v>
      </c>
      <c r="C112" t="s">
        <v>66</v>
      </c>
      <c r="D112" t="s">
        <v>67</v>
      </c>
      <c r="E112" t="s">
        <v>68</v>
      </c>
      <c r="F112">
        <v>1</v>
      </c>
      <c r="G112">
        <v>1</v>
      </c>
      <c r="H112">
        <v>1</v>
      </c>
      <c r="I112" s="6">
        <v>420105001</v>
      </c>
      <c r="J112" t="s">
        <v>71</v>
      </c>
      <c r="K112" s="18">
        <f>126944/1000</f>
        <v>126.944</v>
      </c>
    </row>
    <row r="113" spans="1:11" x14ac:dyDescent="0.25">
      <c r="A113" t="s">
        <v>84</v>
      </c>
      <c r="B113" s="16">
        <v>1271538</v>
      </c>
      <c r="C113" t="s">
        <v>66</v>
      </c>
      <c r="D113" t="s">
        <v>67</v>
      </c>
      <c r="E113" t="s">
        <v>68</v>
      </c>
      <c r="F113">
        <v>1</v>
      </c>
      <c r="G113">
        <v>1</v>
      </c>
      <c r="H113">
        <v>5</v>
      </c>
      <c r="I113" s="6">
        <v>420105001</v>
      </c>
      <c r="J113" t="s">
        <v>71</v>
      </c>
      <c r="K113" s="18">
        <f>311122/1000</f>
        <v>311.12200000000001</v>
      </c>
    </row>
    <row r="114" spans="1:11" x14ac:dyDescent="0.25">
      <c r="A114" t="s">
        <v>84</v>
      </c>
      <c r="B114" s="16">
        <v>1271538</v>
      </c>
      <c r="C114" t="s">
        <v>66</v>
      </c>
      <c r="D114" t="s">
        <v>67</v>
      </c>
      <c r="E114" t="s">
        <v>68</v>
      </c>
      <c r="F114">
        <v>1</v>
      </c>
      <c r="G114">
        <v>1</v>
      </c>
      <c r="H114">
        <v>5</v>
      </c>
      <c r="I114" s="6">
        <v>420102004</v>
      </c>
      <c r="J114" t="s">
        <v>76</v>
      </c>
      <c r="K114" s="18">
        <f>2235516/1000</f>
        <v>2235.5160000000001</v>
      </c>
    </row>
    <row r="115" spans="1:11" x14ac:dyDescent="0.25">
      <c r="A115" t="s">
        <v>84</v>
      </c>
      <c r="B115" s="16">
        <v>1271538</v>
      </c>
      <c r="C115" t="s">
        <v>66</v>
      </c>
      <c r="D115" t="s">
        <v>67</v>
      </c>
      <c r="E115" t="s">
        <v>68</v>
      </c>
      <c r="F115">
        <v>1</v>
      </c>
      <c r="G115">
        <v>1</v>
      </c>
      <c r="H115">
        <v>5</v>
      </c>
      <c r="I115" s="6">
        <v>420201001</v>
      </c>
      <c r="J115" t="s">
        <v>70</v>
      </c>
      <c r="K115" s="18">
        <f>3677060/1000</f>
        <v>3677.06</v>
      </c>
    </row>
    <row r="116" spans="1:11" x14ac:dyDescent="0.25">
      <c r="A116" t="s">
        <v>84</v>
      </c>
      <c r="B116" s="16">
        <v>1271538</v>
      </c>
      <c r="C116" t="s">
        <v>66</v>
      </c>
      <c r="D116" t="s">
        <v>67</v>
      </c>
      <c r="E116" t="s">
        <v>68</v>
      </c>
      <c r="F116">
        <v>2</v>
      </c>
      <c r="G116">
        <v>1</v>
      </c>
      <c r="H116">
        <v>5</v>
      </c>
      <c r="I116" s="6">
        <v>420105001</v>
      </c>
      <c r="J116" t="s">
        <v>71</v>
      </c>
      <c r="K116" s="18">
        <f>8262588/1000</f>
        <v>8262.5879999999997</v>
      </c>
    </row>
    <row r="117" spans="1:11" x14ac:dyDescent="0.25">
      <c r="A117" t="s">
        <v>84</v>
      </c>
      <c r="B117" s="16">
        <v>1271538</v>
      </c>
      <c r="C117" t="s">
        <v>66</v>
      </c>
      <c r="D117" t="s">
        <v>67</v>
      </c>
      <c r="E117" t="s">
        <v>68</v>
      </c>
      <c r="F117">
        <v>2</v>
      </c>
      <c r="G117">
        <v>1</v>
      </c>
      <c r="H117">
        <v>5</v>
      </c>
      <c r="I117" s="6">
        <v>420102004</v>
      </c>
      <c r="J117" t="s">
        <v>76</v>
      </c>
      <c r="K117" s="18">
        <f>3679904/1000</f>
        <v>3679.904</v>
      </c>
    </row>
    <row r="118" spans="1:11" x14ac:dyDescent="0.25">
      <c r="A118" t="s">
        <v>84</v>
      </c>
      <c r="B118" s="16">
        <v>1271538</v>
      </c>
      <c r="C118" t="s">
        <v>66</v>
      </c>
      <c r="D118" t="s">
        <v>67</v>
      </c>
      <c r="E118" t="s">
        <v>68</v>
      </c>
      <c r="F118">
        <v>2</v>
      </c>
      <c r="G118">
        <v>1</v>
      </c>
      <c r="H118">
        <v>5</v>
      </c>
      <c r="I118" s="6">
        <v>320101001</v>
      </c>
      <c r="J118" t="s">
        <v>72</v>
      </c>
      <c r="K118" s="18">
        <f>3638050/1000</f>
        <v>3638.05</v>
      </c>
    </row>
    <row r="119" spans="1:11" x14ac:dyDescent="0.25">
      <c r="A119" t="s">
        <v>84</v>
      </c>
      <c r="B119" s="16">
        <v>1271538</v>
      </c>
      <c r="C119" t="s">
        <v>66</v>
      </c>
      <c r="D119" t="s">
        <v>67</v>
      </c>
      <c r="E119" t="s">
        <v>68</v>
      </c>
      <c r="F119">
        <v>2</v>
      </c>
      <c r="G119">
        <v>1</v>
      </c>
      <c r="H119">
        <v>1</v>
      </c>
      <c r="I119" s="6">
        <v>420201001</v>
      </c>
      <c r="J119" t="s">
        <v>70</v>
      </c>
      <c r="K119" s="18">
        <f>6849634/1000</f>
        <v>6849.634</v>
      </c>
    </row>
    <row r="120" spans="1:11" x14ac:dyDescent="0.25">
      <c r="A120" t="s">
        <v>85</v>
      </c>
      <c r="B120" s="16">
        <v>1271538</v>
      </c>
      <c r="C120" t="s">
        <v>66</v>
      </c>
      <c r="D120" t="s">
        <v>67</v>
      </c>
      <c r="E120" t="s">
        <v>68</v>
      </c>
      <c r="F120">
        <v>1</v>
      </c>
      <c r="G120">
        <v>1</v>
      </c>
      <c r="H120">
        <v>4</v>
      </c>
      <c r="I120" s="6">
        <v>420105001</v>
      </c>
      <c r="J120" t="s">
        <v>71</v>
      </c>
      <c r="K120" s="18">
        <f>4809683/1000</f>
        <v>4809.683</v>
      </c>
    </row>
    <row r="121" spans="1:11" x14ac:dyDescent="0.25">
      <c r="A121" t="s">
        <v>85</v>
      </c>
      <c r="B121" s="16">
        <v>1271538</v>
      </c>
      <c r="C121" t="s">
        <v>66</v>
      </c>
      <c r="D121" t="s">
        <v>67</v>
      </c>
      <c r="E121" t="s">
        <v>68</v>
      </c>
      <c r="F121">
        <v>1</v>
      </c>
      <c r="G121">
        <v>1</v>
      </c>
      <c r="H121">
        <v>4</v>
      </c>
      <c r="I121" s="6">
        <v>420102004</v>
      </c>
      <c r="J121" t="s">
        <v>76</v>
      </c>
      <c r="K121" s="18">
        <f>1605119/1000</f>
        <v>1605.1189999999999</v>
      </c>
    </row>
    <row r="122" spans="1:11" x14ac:dyDescent="0.25">
      <c r="A122" t="s">
        <v>85</v>
      </c>
      <c r="B122" s="16">
        <v>1271538</v>
      </c>
      <c r="C122" t="s">
        <v>66</v>
      </c>
      <c r="D122" t="s">
        <v>67</v>
      </c>
      <c r="E122" t="s">
        <v>68</v>
      </c>
      <c r="F122">
        <v>1</v>
      </c>
      <c r="G122">
        <v>1</v>
      </c>
      <c r="H122">
        <v>4</v>
      </c>
      <c r="I122" s="6">
        <v>320101001</v>
      </c>
      <c r="J122" t="s">
        <v>72</v>
      </c>
      <c r="K122" s="18">
        <f>6066807/1000</f>
        <v>6066.8069999999998</v>
      </c>
    </row>
    <row r="123" spans="1:11" x14ac:dyDescent="0.25">
      <c r="A123" t="s">
        <v>85</v>
      </c>
      <c r="B123" s="16">
        <v>1271538</v>
      </c>
      <c r="C123" t="s">
        <v>66</v>
      </c>
      <c r="D123" t="s">
        <v>67</v>
      </c>
      <c r="E123" t="s">
        <v>68</v>
      </c>
      <c r="F123">
        <v>1</v>
      </c>
      <c r="G123">
        <v>1</v>
      </c>
      <c r="H123">
        <v>4</v>
      </c>
      <c r="I123" s="6">
        <v>420201001</v>
      </c>
      <c r="J123" t="s">
        <v>70</v>
      </c>
      <c r="K123" s="18">
        <f>2689929/1000</f>
        <v>2689.9290000000001</v>
      </c>
    </row>
    <row r="124" spans="1:11" x14ac:dyDescent="0.25">
      <c r="A124" t="s">
        <v>85</v>
      </c>
      <c r="B124" s="16">
        <v>1271538</v>
      </c>
      <c r="C124" t="s">
        <v>66</v>
      </c>
      <c r="D124" t="s">
        <v>67</v>
      </c>
      <c r="E124" t="s">
        <v>68</v>
      </c>
      <c r="F124">
        <v>1</v>
      </c>
      <c r="G124">
        <v>1</v>
      </c>
      <c r="H124">
        <v>1</v>
      </c>
      <c r="I124" s="6">
        <v>420105001</v>
      </c>
      <c r="J124" t="s">
        <v>71</v>
      </c>
      <c r="K124" s="18">
        <f>13500/1000</f>
        <v>13.5</v>
      </c>
    </row>
    <row r="125" spans="1:11" x14ac:dyDescent="0.25">
      <c r="A125" t="s">
        <v>85</v>
      </c>
      <c r="B125" s="16">
        <v>1271538</v>
      </c>
      <c r="C125" t="s">
        <v>66</v>
      </c>
      <c r="D125" t="s">
        <v>67</v>
      </c>
      <c r="E125" t="s">
        <v>68</v>
      </c>
      <c r="F125">
        <v>1</v>
      </c>
      <c r="G125">
        <v>1</v>
      </c>
      <c r="H125">
        <v>5</v>
      </c>
      <c r="I125" s="6">
        <v>420105001</v>
      </c>
      <c r="J125" t="s">
        <v>71</v>
      </c>
      <c r="K125" s="18">
        <f>1043134/1000</f>
        <v>1043.134</v>
      </c>
    </row>
    <row r="126" spans="1:11" x14ac:dyDescent="0.25">
      <c r="A126" t="s">
        <v>85</v>
      </c>
      <c r="B126" s="16">
        <v>1271538</v>
      </c>
      <c r="C126" t="s">
        <v>66</v>
      </c>
      <c r="D126" t="s">
        <v>67</v>
      </c>
      <c r="E126" t="s">
        <v>68</v>
      </c>
      <c r="F126">
        <v>1</v>
      </c>
      <c r="G126">
        <v>1</v>
      </c>
      <c r="H126">
        <v>5</v>
      </c>
      <c r="I126" s="6">
        <v>420102004</v>
      </c>
      <c r="J126" t="s">
        <v>76</v>
      </c>
      <c r="K126" s="18">
        <f>1177799/1000</f>
        <v>1177.799</v>
      </c>
    </row>
    <row r="127" spans="1:11" x14ac:dyDescent="0.25">
      <c r="A127" t="s">
        <v>85</v>
      </c>
      <c r="B127" s="16">
        <v>1271538</v>
      </c>
      <c r="C127" t="s">
        <v>66</v>
      </c>
      <c r="D127" t="s">
        <v>67</v>
      </c>
      <c r="E127" t="s">
        <v>68</v>
      </c>
      <c r="F127">
        <v>2</v>
      </c>
      <c r="G127">
        <v>1</v>
      </c>
      <c r="H127">
        <v>5</v>
      </c>
      <c r="I127" s="6">
        <v>420105001</v>
      </c>
      <c r="J127" t="s">
        <v>71</v>
      </c>
      <c r="K127" s="18">
        <f>6385295/1000</f>
        <v>6385.2950000000001</v>
      </c>
    </row>
    <row r="128" spans="1:11" x14ac:dyDescent="0.25">
      <c r="A128" t="s">
        <v>85</v>
      </c>
      <c r="B128" s="16">
        <v>1271538</v>
      </c>
      <c r="C128" t="s">
        <v>66</v>
      </c>
      <c r="D128" t="s">
        <v>67</v>
      </c>
      <c r="E128" t="s">
        <v>68</v>
      </c>
      <c r="F128">
        <v>2</v>
      </c>
      <c r="G128">
        <v>1</v>
      </c>
      <c r="H128">
        <v>5</v>
      </c>
      <c r="I128" s="6">
        <v>420102004</v>
      </c>
      <c r="J128" t="s">
        <v>76</v>
      </c>
      <c r="K128" s="18">
        <f>1321311/1000</f>
        <v>1321.3109999999999</v>
      </c>
    </row>
    <row r="129" spans="1:11" x14ac:dyDescent="0.25">
      <c r="A129" t="s">
        <v>85</v>
      </c>
      <c r="B129" s="16">
        <v>1271538</v>
      </c>
      <c r="C129" t="s">
        <v>66</v>
      </c>
      <c r="D129" t="s">
        <v>67</v>
      </c>
      <c r="E129" t="s">
        <v>68</v>
      </c>
      <c r="F129">
        <v>2</v>
      </c>
      <c r="G129">
        <v>1</v>
      </c>
      <c r="H129">
        <v>5</v>
      </c>
      <c r="I129" s="6">
        <v>320101001</v>
      </c>
      <c r="J129" t="s">
        <v>72</v>
      </c>
      <c r="K129" s="18">
        <f>5377645/1000</f>
        <v>5377.6450000000004</v>
      </c>
    </row>
    <row r="130" spans="1:11" x14ac:dyDescent="0.25">
      <c r="A130" t="s">
        <v>85</v>
      </c>
      <c r="B130" s="16">
        <v>1271538</v>
      </c>
      <c r="C130" t="s">
        <v>66</v>
      </c>
      <c r="D130" t="s">
        <v>67</v>
      </c>
      <c r="E130" t="s">
        <v>68</v>
      </c>
      <c r="F130">
        <v>2</v>
      </c>
      <c r="G130">
        <v>1</v>
      </c>
      <c r="H130">
        <v>1</v>
      </c>
      <c r="I130" s="6">
        <v>420201001</v>
      </c>
      <c r="J130" t="s">
        <v>70</v>
      </c>
      <c r="K130" s="18">
        <f>4719118/1000</f>
        <v>4719.1180000000004</v>
      </c>
    </row>
    <row r="131" spans="1:11" x14ac:dyDescent="0.25">
      <c r="A131" t="s">
        <v>86</v>
      </c>
      <c r="B131" s="16">
        <v>1271538</v>
      </c>
      <c r="C131" t="s">
        <v>66</v>
      </c>
      <c r="D131" t="s">
        <v>67</v>
      </c>
      <c r="E131" t="s">
        <v>68</v>
      </c>
      <c r="F131">
        <v>1</v>
      </c>
      <c r="G131">
        <v>1</v>
      </c>
      <c r="H131">
        <v>4</v>
      </c>
      <c r="I131" s="6">
        <v>420105001</v>
      </c>
      <c r="J131" t="s">
        <v>71</v>
      </c>
      <c r="K131" s="18">
        <f>9516369/1000</f>
        <v>9516.3690000000006</v>
      </c>
    </row>
    <row r="132" spans="1:11" x14ac:dyDescent="0.25">
      <c r="A132" t="s">
        <v>86</v>
      </c>
      <c r="B132" s="16">
        <v>1271538</v>
      </c>
      <c r="C132" t="s">
        <v>66</v>
      </c>
      <c r="D132" t="s">
        <v>67</v>
      </c>
      <c r="E132" t="s">
        <v>68</v>
      </c>
      <c r="F132">
        <v>1</v>
      </c>
      <c r="G132">
        <v>1</v>
      </c>
      <c r="H132">
        <v>4</v>
      </c>
      <c r="I132" s="6">
        <v>420102004</v>
      </c>
      <c r="J132" t="s">
        <v>76</v>
      </c>
      <c r="K132" s="18">
        <f>1999898/1000</f>
        <v>1999.8979999999999</v>
      </c>
    </row>
    <row r="133" spans="1:11" x14ac:dyDescent="0.25">
      <c r="A133" t="s">
        <v>86</v>
      </c>
      <c r="B133" s="16">
        <v>1271538</v>
      </c>
      <c r="C133" t="s">
        <v>66</v>
      </c>
      <c r="D133" t="s">
        <v>67</v>
      </c>
      <c r="E133" t="s">
        <v>68</v>
      </c>
      <c r="F133">
        <v>1</v>
      </c>
      <c r="G133">
        <v>1</v>
      </c>
      <c r="H133">
        <v>4</v>
      </c>
      <c r="I133" s="6">
        <v>320101001</v>
      </c>
      <c r="J133" t="s">
        <v>72</v>
      </c>
      <c r="K133" s="18">
        <f>3188369/1000</f>
        <v>3188.3690000000001</v>
      </c>
    </row>
    <row r="134" spans="1:11" x14ac:dyDescent="0.25">
      <c r="A134" t="s">
        <v>86</v>
      </c>
      <c r="B134" s="16">
        <v>1271538</v>
      </c>
      <c r="C134" t="s">
        <v>66</v>
      </c>
      <c r="D134" t="s">
        <v>67</v>
      </c>
      <c r="E134" t="s">
        <v>68</v>
      </c>
      <c r="F134">
        <v>1</v>
      </c>
      <c r="G134">
        <v>1</v>
      </c>
      <c r="H134">
        <v>4</v>
      </c>
      <c r="I134" s="6">
        <v>420201001</v>
      </c>
      <c r="J134" t="s">
        <v>70</v>
      </c>
      <c r="K134" s="18">
        <f>4626391/1000</f>
        <v>4626.3909999999996</v>
      </c>
    </row>
    <row r="135" spans="1:11" x14ac:dyDescent="0.25">
      <c r="A135" t="s">
        <v>86</v>
      </c>
      <c r="B135" s="16">
        <v>1271538</v>
      </c>
      <c r="C135" t="s">
        <v>66</v>
      </c>
      <c r="D135" t="s">
        <v>67</v>
      </c>
      <c r="E135" t="s">
        <v>68</v>
      </c>
      <c r="F135">
        <v>1</v>
      </c>
      <c r="G135">
        <v>1</v>
      </c>
      <c r="H135">
        <v>1</v>
      </c>
      <c r="I135" s="6">
        <v>420105001</v>
      </c>
      <c r="J135" t="s">
        <v>71</v>
      </c>
      <c r="K135" s="18">
        <f>92923/1000</f>
        <v>92.923000000000002</v>
      </c>
    </row>
    <row r="136" spans="1:11" x14ac:dyDescent="0.25">
      <c r="A136" t="s">
        <v>86</v>
      </c>
      <c r="B136" s="16">
        <v>1271538</v>
      </c>
      <c r="C136" t="s">
        <v>66</v>
      </c>
      <c r="D136" t="s">
        <v>67</v>
      </c>
      <c r="E136" t="s">
        <v>68</v>
      </c>
      <c r="F136">
        <v>1</v>
      </c>
      <c r="G136">
        <v>1</v>
      </c>
      <c r="H136">
        <v>5</v>
      </c>
      <c r="I136" s="6">
        <v>420105001</v>
      </c>
      <c r="J136" t="s">
        <v>71</v>
      </c>
      <c r="K136" s="18">
        <f>580000/1000</f>
        <v>580</v>
      </c>
    </row>
    <row r="137" spans="1:11" x14ac:dyDescent="0.25">
      <c r="A137" t="s">
        <v>86</v>
      </c>
      <c r="B137" s="16">
        <v>1271538</v>
      </c>
      <c r="C137" t="s">
        <v>66</v>
      </c>
      <c r="D137" t="s">
        <v>67</v>
      </c>
      <c r="E137" t="s">
        <v>68</v>
      </c>
      <c r="F137">
        <v>1</v>
      </c>
      <c r="G137">
        <v>1</v>
      </c>
      <c r="H137">
        <v>5</v>
      </c>
      <c r="I137" s="6">
        <v>420201001</v>
      </c>
      <c r="J137" t="s">
        <v>70</v>
      </c>
      <c r="K137" s="18">
        <f>2126092/1000</f>
        <v>2126.0920000000001</v>
      </c>
    </row>
    <row r="138" spans="1:11" x14ac:dyDescent="0.25">
      <c r="A138" t="s">
        <v>86</v>
      </c>
      <c r="B138" s="16">
        <v>1271538</v>
      </c>
      <c r="C138" t="s">
        <v>66</v>
      </c>
      <c r="D138" t="s">
        <v>67</v>
      </c>
      <c r="E138" t="s">
        <v>68</v>
      </c>
      <c r="F138">
        <v>2</v>
      </c>
      <c r="G138">
        <v>1</v>
      </c>
      <c r="H138">
        <v>5</v>
      </c>
      <c r="I138" s="6">
        <v>420105001</v>
      </c>
      <c r="J138" t="s">
        <v>71</v>
      </c>
      <c r="K138" s="18">
        <f>10899684/1000</f>
        <v>10899.683999999999</v>
      </c>
    </row>
    <row r="139" spans="1:11" x14ac:dyDescent="0.25">
      <c r="A139" t="s">
        <v>86</v>
      </c>
      <c r="B139" s="16">
        <v>1271538</v>
      </c>
      <c r="C139" t="s">
        <v>66</v>
      </c>
      <c r="D139" t="s">
        <v>67</v>
      </c>
      <c r="E139" t="s">
        <v>68</v>
      </c>
      <c r="F139">
        <v>2</v>
      </c>
      <c r="G139">
        <v>1</v>
      </c>
      <c r="H139">
        <v>5</v>
      </c>
      <c r="I139" s="6">
        <v>420102004</v>
      </c>
      <c r="J139" t="s">
        <v>76</v>
      </c>
      <c r="K139" s="18">
        <f>2332915/1000</f>
        <v>2332.915</v>
      </c>
    </row>
    <row r="140" spans="1:11" x14ac:dyDescent="0.25">
      <c r="A140" t="s">
        <v>86</v>
      </c>
      <c r="B140" s="16">
        <v>1271538</v>
      </c>
      <c r="C140" t="s">
        <v>66</v>
      </c>
      <c r="D140" t="s">
        <v>67</v>
      </c>
      <c r="E140" t="s">
        <v>68</v>
      </c>
      <c r="F140">
        <v>2</v>
      </c>
      <c r="G140">
        <v>1</v>
      </c>
      <c r="H140">
        <v>5</v>
      </c>
      <c r="I140" s="6">
        <v>320101001</v>
      </c>
      <c r="J140" t="s">
        <v>72</v>
      </c>
      <c r="K140" s="18">
        <f>4324852/1000</f>
        <v>4324.8519999999999</v>
      </c>
    </row>
    <row r="141" spans="1:11" x14ac:dyDescent="0.25">
      <c r="A141" t="s">
        <v>86</v>
      </c>
      <c r="B141" s="16">
        <v>1271538</v>
      </c>
      <c r="C141" t="s">
        <v>66</v>
      </c>
      <c r="D141" t="s">
        <v>67</v>
      </c>
      <c r="E141" t="s">
        <v>68</v>
      </c>
      <c r="F141">
        <v>2</v>
      </c>
      <c r="G141">
        <v>1</v>
      </c>
      <c r="H141">
        <v>1</v>
      </c>
      <c r="I141" s="6">
        <v>420201001</v>
      </c>
      <c r="J141" t="s">
        <v>70</v>
      </c>
      <c r="K141" s="18">
        <f>5844560/1000</f>
        <v>5844.56</v>
      </c>
    </row>
    <row r="142" spans="1:11" x14ac:dyDescent="0.25">
      <c r="A142" t="s">
        <v>87</v>
      </c>
      <c r="B142" s="16">
        <v>1271538</v>
      </c>
      <c r="C142" t="s">
        <v>66</v>
      </c>
      <c r="D142" t="s">
        <v>67</v>
      </c>
      <c r="E142" t="s">
        <v>68</v>
      </c>
      <c r="F142">
        <v>1</v>
      </c>
      <c r="G142">
        <v>1</v>
      </c>
      <c r="H142">
        <v>4</v>
      </c>
      <c r="I142" s="6">
        <v>420105001</v>
      </c>
      <c r="J142" t="s">
        <v>71</v>
      </c>
      <c r="K142" s="18">
        <f>6943078/1000</f>
        <v>6943.0780000000004</v>
      </c>
    </row>
    <row r="143" spans="1:11" x14ac:dyDescent="0.25">
      <c r="A143" t="s">
        <v>87</v>
      </c>
      <c r="B143" s="16">
        <v>1271538</v>
      </c>
      <c r="C143" t="s">
        <v>66</v>
      </c>
      <c r="D143" t="s">
        <v>67</v>
      </c>
      <c r="E143" t="s">
        <v>68</v>
      </c>
      <c r="F143">
        <v>1</v>
      </c>
      <c r="G143">
        <v>1</v>
      </c>
      <c r="H143">
        <v>4</v>
      </c>
      <c r="I143" s="6">
        <v>420102004</v>
      </c>
      <c r="J143" t="s">
        <v>76</v>
      </c>
      <c r="K143" s="18">
        <f>1507345/1000</f>
        <v>1507.345</v>
      </c>
    </row>
    <row r="144" spans="1:11" x14ac:dyDescent="0.25">
      <c r="A144" t="s">
        <v>87</v>
      </c>
      <c r="B144" s="16">
        <v>1271538</v>
      </c>
      <c r="C144" t="s">
        <v>66</v>
      </c>
      <c r="D144" t="s">
        <v>67</v>
      </c>
      <c r="E144" t="s">
        <v>68</v>
      </c>
      <c r="F144">
        <v>1</v>
      </c>
      <c r="G144">
        <v>1</v>
      </c>
      <c r="H144">
        <v>4</v>
      </c>
      <c r="I144" s="6">
        <v>320101001</v>
      </c>
      <c r="J144" t="s">
        <v>72</v>
      </c>
      <c r="K144" s="18">
        <f>1190552/1000</f>
        <v>1190.5519999999999</v>
      </c>
    </row>
    <row r="145" spans="1:11" x14ac:dyDescent="0.25">
      <c r="A145" t="s">
        <v>87</v>
      </c>
      <c r="B145" s="16">
        <v>1271538</v>
      </c>
      <c r="C145" t="s">
        <v>66</v>
      </c>
      <c r="D145" t="s">
        <v>67</v>
      </c>
      <c r="E145" t="s">
        <v>68</v>
      </c>
      <c r="F145">
        <v>1</v>
      </c>
      <c r="G145">
        <v>1</v>
      </c>
      <c r="H145">
        <v>4</v>
      </c>
      <c r="I145" s="6">
        <v>420201001</v>
      </c>
      <c r="J145" t="s">
        <v>70</v>
      </c>
      <c r="K145" s="18">
        <f>5373795/1000</f>
        <v>5373.7950000000001</v>
      </c>
    </row>
    <row r="146" spans="1:11" x14ac:dyDescent="0.25">
      <c r="A146" t="s">
        <v>87</v>
      </c>
      <c r="B146" s="16">
        <v>1271538</v>
      </c>
      <c r="C146" t="s">
        <v>66</v>
      </c>
      <c r="D146" t="s">
        <v>67</v>
      </c>
      <c r="E146" t="s">
        <v>68</v>
      </c>
      <c r="F146">
        <v>1</v>
      </c>
      <c r="G146">
        <v>1</v>
      </c>
      <c r="H146">
        <v>1</v>
      </c>
      <c r="I146" s="6">
        <v>420105001</v>
      </c>
      <c r="J146" t="s">
        <v>71</v>
      </c>
      <c r="K146" s="18">
        <f>169738/1000</f>
        <v>169.738</v>
      </c>
    </row>
    <row r="147" spans="1:11" x14ac:dyDescent="0.25">
      <c r="A147" t="s">
        <v>87</v>
      </c>
      <c r="B147" s="16">
        <v>1271538</v>
      </c>
      <c r="C147" t="s">
        <v>66</v>
      </c>
      <c r="D147" t="s">
        <v>67</v>
      </c>
      <c r="E147" t="s">
        <v>68</v>
      </c>
      <c r="F147">
        <v>1</v>
      </c>
      <c r="G147">
        <v>1</v>
      </c>
      <c r="H147">
        <v>5</v>
      </c>
      <c r="I147" s="6">
        <v>420105001</v>
      </c>
      <c r="J147" t="s">
        <v>71</v>
      </c>
      <c r="K147" s="18">
        <f>1584828/1000</f>
        <v>1584.828</v>
      </c>
    </row>
    <row r="148" spans="1:11" x14ac:dyDescent="0.25">
      <c r="A148" t="s">
        <v>87</v>
      </c>
      <c r="B148" s="16">
        <v>1271538</v>
      </c>
      <c r="C148" t="s">
        <v>66</v>
      </c>
      <c r="D148" t="s">
        <v>67</v>
      </c>
      <c r="E148" t="s">
        <v>68</v>
      </c>
      <c r="F148">
        <v>1</v>
      </c>
      <c r="G148">
        <v>1</v>
      </c>
      <c r="H148">
        <v>5</v>
      </c>
      <c r="I148" s="6">
        <v>420102004</v>
      </c>
      <c r="J148" t="s">
        <v>76</v>
      </c>
      <c r="K148" s="18">
        <f>453553/1000</f>
        <v>453.553</v>
      </c>
    </row>
    <row r="149" spans="1:11" x14ac:dyDescent="0.25">
      <c r="A149" t="s">
        <v>87</v>
      </c>
      <c r="B149" s="16">
        <v>1271538</v>
      </c>
      <c r="C149" t="s">
        <v>66</v>
      </c>
      <c r="D149" t="s">
        <v>67</v>
      </c>
      <c r="E149" t="s">
        <v>68</v>
      </c>
      <c r="F149">
        <v>1</v>
      </c>
      <c r="G149">
        <v>1</v>
      </c>
      <c r="H149">
        <v>5</v>
      </c>
      <c r="I149" s="6">
        <v>320101001</v>
      </c>
      <c r="J149" t="s">
        <v>72</v>
      </c>
      <c r="K149" s="18">
        <f>22614/1000</f>
        <v>22.614000000000001</v>
      </c>
    </row>
    <row r="150" spans="1:11" x14ac:dyDescent="0.25">
      <c r="A150" t="s">
        <v>87</v>
      </c>
      <c r="B150" s="16">
        <v>1271538</v>
      </c>
      <c r="C150" t="s">
        <v>66</v>
      </c>
      <c r="D150" t="s">
        <v>67</v>
      </c>
      <c r="E150" t="s">
        <v>68</v>
      </c>
      <c r="F150">
        <v>1</v>
      </c>
      <c r="G150">
        <v>1</v>
      </c>
      <c r="H150">
        <v>5</v>
      </c>
      <c r="I150" s="6">
        <v>420201001</v>
      </c>
      <c r="J150" t="s">
        <v>70</v>
      </c>
      <c r="K150" s="18">
        <f>777550/1000</f>
        <v>777.55</v>
      </c>
    </row>
    <row r="151" spans="1:11" x14ac:dyDescent="0.25">
      <c r="A151" t="s">
        <v>87</v>
      </c>
      <c r="B151" s="16">
        <v>1271538</v>
      </c>
      <c r="C151" t="s">
        <v>66</v>
      </c>
      <c r="D151" t="s">
        <v>67</v>
      </c>
      <c r="E151" t="s">
        <v>68</v>
      </c>
      <c r="F151">
        <v>2</v>
      </c>
      <c r="G151">
        <v>1</v>
      </c>
      <c r="H151">
        <v>5</v>
      </c>
      <c r="I151" s="6">
        <v>420105001</v>
      </c>
      <c r="J151" t="s">
        <v>71</v>
      </c>
      <c r="K151" s="18">
        <f>9152634/1000</f>
        <v>9152.634</v>
      </c>
    </row>
    <row r="152" spans="1:11" x14ac:dyDescent="0.25">
      <c r="A152" t="s">
        <v>87</v>
      </c>
      <c r="B152" s="16">
        <v>1271538</v>
      </c>
      <c r="C152" t="s">
        <v>66</v>
      </c>
      <c r="D152" t="s">
        <v>67</v>
      </c>
      <c r="E152" t="s">
        <v>68</v>
      </c>
      <c r="F152">
        <v>2</v>
      </c>
      <c r="G152">
        <v>1</v>
      </c>
      <c r="H152">
        <v>5</v>
      </c>
      <c r="I152" s="6">
        <v>420102004</v>
      </c>
      <c r="J152" t="s">
        <v>76</v>
      </c>
      <c r="K152" s="18">
        <f>1592159/1000</f>
        <v>1592.1590000000001</v>
      </c>
    </row>
    <row r="153" spans="1:11" x14ac:dyDescent="0.25">
      <c r="A153" t="s">
        <v>87</v>
      </c>
      <c r="B153" s="16">
        <v>1271538</v>
      </c>
      <c r="C153" t="s">
        <v>66</v>
      </c>
      <c r="D153" t="s">
        <v>67</v>
      </c>
      <c r="E153" t="s">
        <v>68</v>
      </c>
      <c r="F153">
        <v>2</v>
      </c>
      <c r="G153">
        <v>1</v>
      </c>
      <c r="H153">
        <v>1</v>
      </c>
      <c r="I153" s="6">
        <v>420201001</v>
      </c>
      <c r="J153" t="s">
        <v>70</v>
      </c>
      <c r="K153" s="18">
        <f>5210318/1000</f>
        <v>5210.3180000000002</v>
      </c>
    </row>
    <row r="154" spans="1:11" x14ac:dyDescent="0.25">
      <c r="A154" t="s">
        <v>88</v>
      </c>
      <c r="B154" s="16">
        <v>1271538</v>
      </c>
      <c r="C154" t="s">
        <v>66</v>
      </c>
      <c r="D154" t="s">
        <v>67</v>
      </c>
      <c r="E154" t="s">
        <v>68</v>
      </c>
      <c r="F154">
        <v>1</v>
      </c>
      <c r="G154">
        <v>1</v>
      </c>
      <c r="H154">
        <v>4</v>
      </c>
      <c r="I154" s="6">
        <v>420105001</v>
      </c>
      <c r="J154" t="s">
        <v>71</v>
      </c>
      <c r="K154" s="18">
        <f>9033712/1000</f>
        <v>9033.7119999999995</v>
      </c>
    </row>
    <row r="155" spans="1:11" x14ac:dyDescent="0.25">
      <c r="A155" t="s">
        <v>88</v>
      </c>
      <c r="B155" s="16">
        <v>1271538</v>
      </c>
      <c r="C155" t="s">
        <v>66</v>
      </c>
      <c r="D155" t="s">
        <v>67</v>
      </c>
      <c r="E155" t="s">
        <v>68</v>
      </c>
      <c r="F155">
        <v>1</v>
      </c>
      <c r="G155">
        <v>1</v>
      </c>
      <c r="H155">
        <v>4</v>
      </c>
      <c r="I155" s="6">
        <v>320101001</v>
      </c>
      <c r="J155" t="s">
        <v>72</v>
      </c>
      <c r="K155" s="18">
        <f>3574549/1000</f>
        <v>3574.549</v>
      </c>
    </row>
    <row r="156" spans="1:11" x14ac:dyDescent="0.25">
      <c r="A156" t="s">
        <v>88</v>
      </c>
      <c r="B156" s="16">
        <v>1271538</v>
      </c>
      <c r="C156" t="s">
        <v>66</v>
      </c>
      <c r="D156" t="s">
        <v>67</v>
      </c>
      <c r="E156" t="s">
        <v>68</v>
      </c>
      <c r="F156">
        <v>1</v>
      </c>
      <c r="G156">
        <v>1</v>
      </c>
      <c r="H156">
        <v>4</v>
      </c>
      <c r="I156" s="6">
        <v>420201001</v>
      </c>
      <c r="J156" t="s">
        <v>70</v>
      </c>
      <c r="K156" s="18">
        <f>2786972/1000</f>
        <v>2786.9720000000002</v>
      </c>
    </row>
    <row r="157" spans="1:11" x14ac:dyDescent="0.25">
      <c r="A157" t="s">
        <v>88</v>
      </c>
      <c r="B157" s="16">
        <v>1271538</v>
      </c>
      <c r="C157" t="s">
        <v>66</v>
      </c>
      <c r="D157" t="s">
        <v>67</v>
      </c>
      <c r="E157" t="s">
        <v>68</v>
      </c>
      <c r="F157">
        <v>1</v>
      </c>
      <c r="G157">
        <v>1</v>
      </c>
      <c r="H157">
        <v>1</v>
      </c>
      <c r="I157" s="6">
        <v>420105001</v>
      </c>
      <c r="J157" t="s">
        <v>71</v>
      </c>
      <c r="K157" s="18">
        <f>436930/1000</f>
        <v>436.93</v>
      </c>
    </row>
    <row r="158" spans="1:11" x14ac:dyDescent="0.25">
      <c r="A158" t="s">
        <v>88</v>
      </c>
      <c r="B158" s="16">
        <v>1271538</v>
      </c>
      <c r="C158" t="s">
        <v>66</v>
      </c>
      <c r="D158" t="s">
        <v>67</v>
      </c>
      <c r="E158" t="s">
        <v>68</v>
      </c>
      <c r="F158">
        <v>1</v>
      </c>
      <c r="G158">
        <v>1</v>
      </c>
      <c r="H158">
        <v>5</v>
      </c>
      <c r="I158" s="6">
        <v>420105001</v>
      </c>
      <c r="J158" t="s">
        <v>71</v>
      </c>
      <c r="K158" s="18">
        <f>79750/1000</f>
        <v>79.75</v>
      </c>
    </row>
    <row r="159" spans="1:11" x14ac:dyDescent="0.25">
      <c r="A159" t="s">
        <v>88</v>
      </c>
      <c r="B159" s="16">
        <v>1271538</v>
      </c>
      <c r="C159" t="s">
        <v>66</v>
      </c>
      <c r="D159" t="s">
        <v>67</v>
      </c>
      <c r="E159" t="s">
        <v>68</v>
      </c>
      <c r="F159">
        <v>1</v>
      </c>
      <c r="G159">
        <v>1</v>
      </c>
      <c r="H159">
        <v>5</v>
      </c>
      <c r="I159" s="6">
        <v>420201001</v>
      </c>
      <c r="J159" t="s">
        <v>70</v>
      </c>
      <c r="K159" s="18">
        <f>2180575/1000</f>
        <v>2180.5749999999998</v>
      </c>
    </row>
    <row r="160" spans="1:11" x14ac:dyDescent="0.25">
      <c r="A160" t="s">
        <v>88</v>
      </c>
      <c r="B160" s="16">
        <v>1271538</v>
      </c>
      <c r="C160" t="s">
        <v>66</v>
      </c>
      <c r="D160" t="s">
        <v>67</v>
      </c>
      <c r="E160" t="s">
        <v>68</v>
      </c>
      <c r="F160">
        <v>2</v>
      </c>
      <c r="G160">
        <v>1</v>
      </c>
      <c r="H160">
        <v>5</v>
      </c>
      <c r="I160" s="6">
        <v>420105001</v>
      </c>
      <c r="J160" t="s">
        <v>71</v>
      </c>
      <c r="K160" s="18">
        <f>8383353/1000</f>
        <v>8383.3529999999992</v>
      </c>
    </row>
    <row r="161" spans="1:11" x14ac:dyDescent="0.25">
      <c r="A161" t="s">
        <v>88</v>
      </c>
      <c r="B161" s="16">
        <v>1271538</v>
      </c>
      <c r="C161" t="s">
        <v>66</v>
      </c>
      <c r="D161" t="s">
        <v>67</v>
      </c>
      <c r="E161" t="s">
        <v>68</v>
      </c>
      <c r="F161">
        <v>2</v>
      </c>
      <c r="G161">
        <v>1</v>
      </c>
      <c r="H161">
        <v>5</v>
      </c>
      <c r="I161" s="6">
        <v>420102004</v>
      </c>
      <c r="J161" t="s">
        <v>76</v>
      </c>
      <c r="K161" s="18">
        <f>149400/1000</f>
        <v>149.4</v>
      </c>
    </row>
    <row r="162" spans="1:11" x14ac:dyDescent="0.25">
      <c r="A162" t="s">
        <v>88</v>
      </c>
      <c r="B162" s="16">
        <v>1271538</v>
      </c>
      <c r="C162" t="s">
        <v>66</v>
      </c>
      <c r="D162" t="s">
        <v>67</v>
      </c>
      <c r="E162" t="s">
        <v>68</v>
      </c>
      <c r="F162">
        <v>2</v>
      </c>
      <c r="G162">
        <v>1</v>
      </c>
      <c r="H162">
        <v>5</v>
      </c>
      <c r="I162" s="6">
        <v>320101001</v>
      </c>
      <c r="J162" t="s">
        <v>72</v>
      </c>
      <c r="K162" s="18">
        <f>3325376/1000</f>
        <v>3325.3760000000002</v>
      </c>
    </row>
    <row r="163" spans="1:11" x14ac:dyDescent="0.25">
      <c r="A163" t="s">
        <v>88</v>
      </c>
      <c r="B163" s="16">
        <v>1271538</v>
      </c>
      <c r="C163" t="s">
        <v>66</v>
      </c>
      <c r="D163" t="s">
        <v>67</v>
      </c>
      <c r="E163" t="s">
        <v>68</v>
      </c>
      <c r="F163">
        <v>2</v>
      </c>
      <c r="G163">
        <v>1</v>
      </c>
      <c r="H163">
        <v>1</v>
      </c>
      <c r="I163" s="6">
        <v>420201001</v>
      </c>
      <c r="J163" t="s">
        <v>70</v>
      </c>
      <c r="K163" s="18">
        <f>4628173/1000</f>
        <v>4628.1729999999998</v>
      </c>
    </row>
    <row r="164" spans="1:11" x14ac:dyDescent="0.25">
      <c r="A164" t="s">
        <v>13</v>
      </c>
      <c r="B164" s="16">
        <v>1271538</v>
      </c>
      <c r="C164" t="s">
        <v>66</v>
      </c>
      <c r="D164" t="s">
        <v>67</v>
      </c>
      <c r="E164" t="s">
        <v>68</v>
      </c>
      <c r="F164">
        <v>1</v>
      </c>
      <c r="G164">
        <v>1</v>
      </c>
      <c r="H164">
        <v>4</v>
      </c>
      <c r="I164" s="6">
        <v>420105001</v>
      </c>
      <c r="J164" t="s">
        <v>71</v>
      </c>
      <c r="K164" s="18">
        <f>4216492/1000</f>
        <v>4216.4920000000002</v>
      </c>
    </row>
    <row r="165" spans="1:11" x14ac:dyDescent="0.25">
      <c r="A165" t="s">
        <v>13</v>
      </c>
      <c r="B165" s="16">
        <v>1271538</v>
      </c>
      <c r="C165" t="s">
        <v>66</v>
      </c>
      <c r="D165" t="s">
        <v>67</v>
      </c>
      <c r="E165" t="s">
        <v>68</v>
      </c>
      <c r="F165">
        <v>1</v>
      </c>
      <c r="G165">
        <v>1</v>
      </c>
      <c r="H165">
        <v>4</v>
      </c>
      <c r="I165" s="6">
        <v>420102004</v>
      </c>
      <c r="J165" t="s">
        <v>76</v>
      </c>
      <c r="K165" s="18">
        <f>2330464/1000</f>
        <v>2330.4639999999999</v>
      </c>
    </row>
    <row r="166" spans="1:11" x14ac:dyDescent="0.25">
      <c r="A166" t="s">
        <v>13</v>
      </c>
      <c r="B166" s="16">
        <v>1271538</v>
      </c>
      <c r="C166" t="s">
        <v>66</v>
      </c>
      <c r="D166" t="s">
        <v>67</v>
      </c>
      <c r="E166" t="s">
        <v>68</v>
      </c>
      <c r="F166">
        <v>1</v>
      </c>
      <c r="G166">
        <v>1</v>
      </c>
      <c r="H166">
        <v>4</v>
      </c>
      <c r="I166" s="6">
        <v>320101001</v>
      </c>
      <c r="J166" t="s">
        <v>72</v>
      </c>
      <c r="K166" s="18">
        <f>2069358/1000</f>
        <v>2069.3580000000002</v>
      </c>
    </row>
    <row r="167" spans="1:11" x14ac:dyDescent="0.25">
      <c r="A167" t="s">
        <v>13</v>
      </c>
      <c r="B167" s="16">
        <v>1271538</v>
      </c>
      <c r="C167" t="s">
        <v>66</v>
      </c>
      <c r="D167" t="s">
        <v>67</v>
      </c>
      <c r="E167" t="s">
        <v>68</v>
      </c>
      <c r="F167">
        <v>1</v>
      </c>
      <c r="G167">
        <v>1</v>
      </c>
      <c r="H167">
        <v>4</v>
      </c>
      <c r="I167" s="6">
        <v>420201001</v>
      </c>
      <c r="J167" t="s">
        <v>70</v>
      </c>
      <c r="K167" s="18">
        <f>5282772/1000</f>
        <v>5282.7719999999999</v>
      </c>
    </row>
    <row r="168" spans="1:11" x14ac:dyDescent="0.25">
      <c r="A168" t="s">
        <v>13</v>
      </c>
      <c r="B168" s="16">
        <v>1271538</v>
      </c>
      <c r="C168" t="s">
        <v>66</v>
      </c>
      <c r="D168" t="s">
        <v>67</v>
      </c>
      <c r="E168" t="s">
        <v>68</v>
      </c>
      <c r="F168">
        <v>1</v>
      </c>
      <c r="G168">
        <v>1</v>
      </c>
      <c r="H168">
        <v>5</v>
      </c>
      <c r="I168" s="6">
        <v>420105001</v>
      </c>
      <c r="J168" t="s">
        <v>71</v>
      </c>
      <c r="K168" s="18">
        <f>908586/1000</f>
        <v>908.58600000000001</v>
      </c>
    </row>
    <row r="169" spans="1:11" x14ac:dyDescent="0.25">
      <c r="A169" t="s">
        <v>13</v>
      </c>
      <c r="B169" s="16">
        <v>1271538</v>
      </c>
      <c r="C169" t="s">
        <v>66</v>
      </c>
      <c r="D169" t="s">
        <v>67</v>
      </c>
      <c r="E169" t="s">
        <v>68</v>
      </c>
      <c r="F169">
        <v>1</v>
      </c>
      <c r="G169">
        <v>1</v>
      </c>
      <c r="H169">
        <v>5</v>
      </c>
      <c r="I169" s="6">
        <v>420102004</v>
      </c>
      <c r="J169" t="s">
        <v>76</v>
      </c>
      <c r="K169" s="18">
        <f>222706/1000</f>
        <v>222.70599999999999</v>
      </c>
    </row>
    <row r="170" spans="1:11" x14ac:dyDescent="0.25">
      <c r="A170" t="s">
        <v>13</v>
      </c>
      <c r="B170" s="16">
        <v>1271538</v>
      </c>
      <c r="C170" t="s">
        <v>66</v>
      </c>
      <c r="D170" t="s">
        <v>67</v>
      </c>
      <c r="E170" t="s">
        <v>68</v>
      </c>
      <c r="F170">
        <v>2</v>
      </c>
      <c r="G170">
        <v>1</v>
      </c>
      <c r="H170">
        <v>5</v>
      </c>
      <c r="I170" s="6">
        <v>420105001</v>
      </c>
      <c r="J170" t="s">
        <v>71</v>
      </c>
      <c r="K170" s="18">
        <f>6131816/1000</f>
        <v>6131.8159999999998</v>
      </c>
    </row>
    <row r="171" spans="1:11" x14ac:dyDescent="0.25">
      <c r="A171" t="s">
        <v>13</v>
      </c>
      <c r="B171" s="16">
        <v>1271538</v>
      </c>
      <c r="C171" t="s">
        <v>66</v>
      </c>
      <c r="D171" t="s">
        <v>67</v>
      </c>
      <c r="E171" t="s">
        <v>68</v>
      </c>
      <c r="F171">
        <v>2</v>
      </c>
      <c r="G171">
        <v>1</v>
      </c>
      <c r="H171">
        <v>5</v>
      </c>
      <c r="I171" s="6">
        <v>420102004</v>
      </c>
      <c r="J171" t="s">
        <v>76</v>
      </c>
      <c r="K171" s="18">
        <f>2413718/1000</f>
        <v>2413.7179999999998</v>
      </c>
    </row>
    <row r="172" spans="1:11" x14ac:dyDescent="0.25">
      <c r="A172" t="s">
        <v>13</v>
      </c>
      <c r="B172" s="16">
        <v>1271538</v>
      </c>
      <c r="C172" t="s">
        <v>66</v>
      </c>
      <c r="D172" t="s">
        <v>67</v>
      </c>
      <c r="E172" t="s">
        <v>68</v>
      </c>
      <c r="F172">
        <v>2</v>
      </c>
      <c r="G172">
        <v>1</v>
      </c>
      <c r="H172">
        <v>5</v>
      </c>
      <c r="I172" s="6">
        <v>320101001</v>
      </c>
      <c r="J172" t="s">
        <v>72</v>
      </c>
      <c r="K172" s="18">
        <f>2027141/1000</f>
        <v>2027.1410000000001</v>
      </c>
    </row>
    <row r="173" spans="1:11" x14ac:dyDescent="0.25">
      <c r="A173" t="s">
        <v>13</v>
      </c>
      <c r="B173" s="16">
        <v>1271538</v>
      </c>
      <c r="C173" t="s">
        <v>66</v>
      </c>
      <c r="D173" t="s">
        <v>67</v>
      </c>
      <c r="E173" t="s">
        <v>68</v>
      </c>
      <c r="F173">
        <v>2</v>
      </c>
      <c r="G173">
        <v>1</v>
      </c>
      <c r="H173">
        <v>1</v>
      </c>
      <c r="I173" s="6">
        <v>420201001</v>
      </c>
      <c r="J173" t="s">
        <v>70</v>
      </c>
      <c r="K173" s="18">
        <f>6608997/1000</f>
        <v>6608.9970000000003</v>
      </c>
    </row>
    <row r="174" spans="1:11" x14ac:dyDescent="0.25">
      <c r="A174" t="s">
        <v>89</v>
      </c>
      <c r="B174" s="16">
        <v>1271538</v>
      </c>
      <c r="C174" t="s">
        <v>66</v>
      </c>
      <c r="D174" t="s">
        <v>67</v>
      </c>
      <c r="E174" t="s">
        <v>68</v>
      </c>
      <c r="F174">
        <v>1</v>
      </c>
      <c r="G174">
        <v>1</v>
      </c>
      <c r="H174">
        <v>4</v>
      </c>
      <c r="I174" s="6">
        <v>420105001</v>
      </c>
      <c r="J174" t="s">
        <v>71</v>
      </c>
      <c r="K174" s="18">
        <f>5241578/1000</f>
        <v>5241.5780000000004</v>
      </c>
    </row>
    <row r="175" spans="1:11" x14ac:dyDescent="0.25">
      <c r="A175" t="s">
        <v>89</v>
      </c>
      <c r="B175" s="16">
        <v>1271538</v>
      </c>
      <c r="C175" t="s">
        <v>66</v>
      </c>
      <c r="D175" t="s">
        <v>67</v>
      </c>
      <c r="E175" t="s">
        <v>68</v>
      </c>
      <c r="F175">
        <v>1</v>
      </c>
      <c r="G175">
        <v>1</v>
      </c>
      <c r="H175">
        <v>4</v>
      </c>
      <c r="I175" s="6">
        <v>420102004</v>
      </c>
      <c r="J175" t="s">
        <v>76</v>
      </c>
      <c r="K175" s="18">
        <f>1603793/1000</f>
        <v>1603.7929999999999</v>
      </c>
    </row>
    <row r="176" spans="1:11" x14ac:dyDescent="0.25">
      <c r="A176" t="s">
        <v>89</v>
      </c>
      <c r="B176" s="16">
        <v>1271538</v>
      </c>
      <c r="C176" t="s">
        <v>66</v>
      </c>
      <c r="D176" t="s">
        <v>67</v>
      </c>
      <c r="E176" t="s">
        <v>68</v>
      </c>
      <c r="F176">
        <v>1</v>
      </c>
      <c r="G176">
        <v>1</v>
      </c>
      <c r="H176">
        <v>4</v>
      </c>
      <c r="I176" s="6">
        <v>320101001</v>
      </c>
      <c r="J176" t="s">
        <v>72</v>
      </c>
      <c r="K176" s="18">
        <f>1325909/1000</f>
        <v>1325.9090000000001</v>
      </c>
    </row>
    <row r="177" spans="1:11" x14ac:dyDescent="0.25">
      <c r="A177" t="s">
        <v>89</v>
      </c>
      <c r="B177" s="16">
        <v>1271538</v>
      </c>
      <c r="C177" t="s">
        <v>66</v>
      </c>
      <c r="D177" t="s">
        <v>67</v>
      </c>
      <c r="E177" t="s">
        <v>68</v>
      </c>
      <c r="F177">
        <v>1</v>
      </c>
      <c r="G177">
        <v>1</v>
      </c>
      <c r="H177">
        <v>4</v>
      </c>
      <c r="I177" s="6">
        <v>420201001</v>
      </c>
      <c r="J177" t="s">
        <v>70</v>
      </c>
      <c r="K177" s="18">
        <f>3785679/1000</f>
        <v>3785.6790000000001</v>
      </c>
    </row>
    <row r="178" spans="1:11" x14ac:dyDescent="0.25">
      <c r="A178" t="s">
        <v>89</v>
      </c>
      <c r="B178" s="16">
        <v>1271538</v>
      </c>
      <c r="C178" t="s">
        <v>66</v>
      </c>
      <c r="D178" t="s">
        <v>67</v>
      </c>
      <c r="E178" t="s">
        <v>68</v>
      </c>
      <c r="F178">
        <v>1</v>
      </c>
      <c r="G178">
        <v>1</v>
      </c>
      <c r="H178">
        <v>1</v>
      </c>
      <c r="I178" s="6">
        <v>420105001</v>
      </c>
      <c r="J178" t="s">
        <v>71</v>
      </c>
      <c r="K178" s="18">
        <f>406232/1000</f>
        <v>406.23200000000003</v>
      </c>
    </row>
    <row r="179" spans="1:11" x14ac:dyDescent="0.25">
      <c r="A179" t="s">
        <v>89</v>
      </c>
      <c r="B179" s="16">
        <v>1271538</v>
      </c>
      <c r="C179" t="s">
        <v>66</v>
      </c>
      <c r="D179" t="s">
        <v>67</v>
      </c>
      <c r="E179" t="s">
        <v>68</v>
      </c>
      <c r="F179">
        <v>1</v>
      </c>
      <c r="G179">
        <v>1</v>
      </c>
      <c r="H179">
        <v>5</v>
      </c>
      <c r="I179" s="6">
        <v>420105001</v>
      </c>
      <c r="J179" t="s">
        <v>71</v>
      </c>
      <c r="K179" s="18">
        <f>2964999/1000</f>
        <v>2964.9989999999998</v>
      </c>
    </row>
    <row r="180" spans="1:11" x14ac:dyDescent="0.25">
      <c r="A180" t="s">
        <v>89</v>
      </c>
      <c r="B180" s="16">
        <v>1271538</v>
      </c>
      <c r="C180" t="s">
        <v>66</v>
      </c>
      <c r="D180" t="s">
        <v>67</v>
      </c>
      <c r="E180" t="s">
        <v>68</v>
      </c>
      <c r="F180">
        <v>1</v>
      </c>
      <c r="G180">
        <v>1</v>
      </c>
      <c r="H180">
        <v>5</v>
      </c>
      <c r="I180" s="6">
        <v>320101001</v>
      </c>
      <c r="J180" t="s">
        <v>72</v>
      </c>
      <c r="K180" s="18">
        <f>985174/1000</f>
        <v>985.17399999999998</v>
      </c>
    </row>
    <row r="181" spans="1:11" x14ac:dyDescent="0.25">
      <c r="A181" t="s">
        <v>89</v>
      </c>
      <c r="B181" s="16">
        <v>1271538</v>
      </c>
      <c r="C181" t="s">
        <v>66</v>
      </c>
      <c r="D181" t="s">
        <v>67</v>
      </c>
      <c r="E181" t="s">
        <v>68</v>
      </c>
      <c r="F181">
        <v>1</v>
      </c>
      <c r="G181">
        <v>1</v>
      </c>
      <c r="H181">
        <v>5</v>
      </c>
      <c r="I181" s="6">
        <v>420201001</v>
      </c>
      <c r="J181" t="s">
        <v>70</v>
      </c>
      <c r="K181" s="18">
        <f>2081718/1000</f>
        <v>2081.7179999999998</v>
      </c>
    </row>
    <row r="182" spans="1:11" x14ac:dyDescent="0.25">
      <c r="A182" t="s">
        <v>89</v>
      </c>
      <c r="B182" s="16">
        <v>1271538</v>
      </c>
      <c r="C182" t="s">
        <v>66</v>
      </c>
      <c r="D182" t="s">
        <v>67</v>
      </c>
      <c r="E182" t="s">
        <v>68</v>
      </c>
      <c r="F182">
        <v>2</v>
      </c>
      <c r="G182">
        <v>1</v>
      </c>
      <c r="H182">
        <v>5</v>
      </c>
      <c r="I182" s="6">
        <v>420105001</v>
      </c>
      <c r="J182" t="s">
        <v>71</v>
      </c>
      <c r="K182" s="18">
        <f>5375590/1000</f>
        <v>5375.59</v>
      </c>
    </row>
    <row r="183" spans="1:11" x14ac:dyDescent="0.25">
      <c r="A183" t="s">
        <v>89</v>
      </c>
      <c r="B183" s="16">
        <v>1271538</v>
      </c>
      <c r="C183" t="s">
        <v>66</v>
      </c>
      <c r="D183" t="s">
        <v>67</v>
      </c>
      <c r="E183" t="s">
        <v>68</v>
      </c>
      <c r="F183">
        <v>2</v>
      </c>
      <c r="G183">
        <v>1</v>
      </c>
      <c r="H183">
        <v>5</v>
      </c>
      <c r="I183" s="6">
        <v>420102004</v>
      </c>
      <c r="J183" t="s">
        <v>76</v>
      </c>
      <c r="K183" s="18">
        <f>2204542/1000</f>
        <v>2204.5419999999999</v>
      </c>
    </row>
    <row r="184" spans="1:11" x14ac:dyDescent="0.25">
      <c r="A184" t="s">
        <v>89</v>
      </c>
      <c r="B184" s="16">
        <v>1271538</v>
      </c>
      <c r="C184" t="s">
        <v>66</v>
      </c>
      <c r="D184" t="s">
        <v>67</v>
      </c>
      <c r="E184" t="s">
        <v>68</v>
      </c>
      <c r="F184">
        <v>2</v>
      </c>
      <c r="G184">
        <v>1</v>
      </c>
      <c r="H184">
        <v>5</v>
      </c>
      <c r="I184" s="6">
        <v>320101001</v>
      </c>
      <c r="J184" t="s">
        <v>72</v>
      </c>
      <c r="K184" s="18">
        <f>1971319/1000</f>
        <v>1971.319</v>
      </c>
    </row>
    <row r="185" spans="1:11" x14ac:dyDescent="0.25">
      <c r="A185" t="s">
        <v>89</v>
      </c>
      <c r="B185" s="16">
        <v>1271538</v>
      </c>
      <c r="C185" t="s">
        <v>66</v>
      </c>
      <c r="D185" t="s">
        <v>67</v>
      </c>
      <c r="E185" t="s">
        <v>68</v>
      </c>
      <c r="F185">
        <v>2</v>
      </c>
      <c r="G185">
        <v>1</v>
      </c>
      <c r="H185">
        <v>5</v>
      </c>
      <c r="I185" s="6">
        <v>420201001</v>
      </c>
      <c r="J185" t="s">
        <v>70</v>
      </c>
      <c r="K185" s="18">
        <f>483934/1000</f>
        <v>483.93400000000003</v>
      </c>
    </row>
    <row r="186" spans="1:11" x14ac:dyDescent="0.25">
      <c r="A186" t="s">
        <v>89</v>
      </c>
      <c r="B186" s="16">
        <v>1271538</v>
      </c>
      <c r="C186" t="s">
        <v>66</v>
      </c>
      <c r="D186" t="s">
        <v>67</v>
      </c>
      <c r="E186" t="s">
        <v>68</v>
      </c>
      <c r="F186">
        <v>2</v>
      </c>
      <c r="G186">
        <v>1</v>
      </c>
      <c r="H186">
        <v>1</v>
      </c>
      <c r="I186" s="6">
        <v>420201001</v>
      </c>
      <c r="J186" t="s">
        <v>70</v>
      </c>
      <c r="K186" s="18">
        <f>4351342/1000</f>
        <v>4351.3419999999996</v>
      </c>
    </row>
    <row r="187" spans="1:11" x14ac:dyDescent="0.25">
      <c r="A187" t="s">
        <v>90</v>
      </c>
      <c r="B187" s="16">
        <v>1271538</v>
      </c>
      <c r="C187" t="s">
        <v>66</v>
      </c>
      <c r="D187" t="s">
        <v>67</v>
      </c>
      <c r="E187" t="s">
        <v>68</v>
      </c>
      <c r="F187">
        <v>1</v>
      </c>
      <c r="G187">
        <v>1</v>
      </c>
      <c r="H187">
        <v>4</v>
      </c>
      <c r="I187" s="6">
        <v>420105001</v>
      </c>
      <c r="J187" t="s">
        <v>71</v>
      </c>
      <c r="K187" s="18">
        <f>3711723/1000</f>
        <v>3711.723</v>
      </c>
    </row>
    <row r="188" spans="1:11" x14ac:dyDescent="0.25">
      <c r="A188" t="s">
        <v>90</v>
      </c>
      <c r="B188" s="16">
        <v>1271538</v>
      </c>
      <c r="C188" t="s">
        <v>66</v>
      </c>
      <c r="D188" t="s">
        <v>67</v>
      </c>
      <c r="E188" t="s">
        <v>68</v>
      </c>
      <c r="F188">
        <v>1</v>
      </c>
      <c r="G188">
        <v>1</v>
      </c>
      <c r="H188">
        <v>4</v>
      </c>
      <c r="I188" s="6">
        <v>420102004</v>
      </c>
      <c r="J188" t="s">
        <v>76</v>
      </c>
      <c r="K188" s="18">
        <f>2492441/1000</f>
        <v>2492.4409999999998</v>
      </c>
    </row>
    <row r="189" spans="1:11" x14ac:dyDescent="0.25">
      <c r="A189" t="s">
        <v>90</v>
      </c>
      <c r="B189" s="16">
        <v>1271538</v>
      </c>
      <c r="C189" t="s">
        <v>66</v>
      </c>
      <c r="D189" t="s">
        <v>67</v>
      </c>
      <c r="E189" t="s">
        <v>68</v>
      </c>
      <c r="F189">
        <v>1</v>
      </c>
      <c r="G189">
        <v>1</v>
      </c>
      <c r="H189">
        <v>4</v>
      </c>
      <c r="I189" s="6">
        <v>320101001</v>
      </c>
      <c r="J189" t="s">
        <v>72</v>
      </c>
      <c r="K189" s="18">
        <f>4932221/1000</f>
        <v>4932.2209999999995</v>
      </c>
    </row>
    <row r="190" spans="1:11" x14ac:dyDescent="0.25">
      <c r="A190" t="s">
        <v>90</v>
      </c>
      <c r="B190" s="16">
        <v>1271538</v>
      </c>
      <c r="C190" t="s">
        <v>66</v>
      </c>
      <c r="D190" t="s">
        <v>67</v>
      </c>
      <c r="E190" t="s">
        <v>68</v>
      </c>
      <c r="F190">
        <v>1</v>
      </c>
      <c r="G190">
        <v>1</v>
      </c>
      <c r="H190">
        <v>1</v>
      </c>
      <c r="I190" s="6">
        <v>420105001</v>
      </c>
      <c r="J190" t="s">
        <v>71</v>
      </c>
      <c r="K190" s="18">
        <f>651488/1000</f>
        <v>651.48800000000006</v>
      </c>
    </row>
    <row r="191" spans="1:11" x14ac:dyDescent="0.25">
      <c r="A191" t="s">
        <v>90</v>
      </c>
      <c r="B191" s="16">
        <v>1271538</v>
      </c>
      <c r="C191" t="s">
        <v>66</v>
      </c>
      <c r="D191" t="s">
        <v>67</v>
      </c>
      <c r="E191" t="s">
        <v>68</v>
      </c>
      <c r="F191">
        <v>1</v>
      </c>
      <c r="G191">
        <v>1</v>
      </c>
      <c r="H191">
        <v>5</v>
      </c>
      <c r="I191" s="6">
        <v>420105001</v>
      </c>
      <c r="J191" t="s">
        <v>71</v>
      </c>
      <c r="K191" s="18">
        <f>1928375/1000</f>
        <v>1928.375</v>
      </c>
    </row>
    <row r="192" spans="1:11" x14ac:dyDescent="0.25">
      <c r="A192" t="s">
        <v>90</v>
      </c>
      <c r="B192" s="16">
        <v>1271538</v>
      </c>
      <c r="C192" t="s">
        <v>66</v>
      </c>
      <c r="D192" t="s">
        <v>67</v>
      </c>
      <c r="E192" t="s">
        <v>68</v>
      </c>
      <c r="F192">
        <v>1</v>
      </c>
      <c r="G192">
        <v>1</v>
      </c>
      <c r="H192">
        <v>5</v>
      </c>
      <c r="I192" s="6">
        <v>320101001</v>
      </c>
      <c r="J192" t="s">
        <v>72</v>
      </c>
      <c r="K192" s="18">
        <f>49345/1000</f>
        <v>49.344999999999999</v>
      </c>
    </row>
    <row r="193" spans="1:11" x14ac:dyDescent="0.25">
      <c r="A193" t="s">
        <v>90</v>
      </c>
      <c r="B193" s="16">
        <v>1271538</v>
      </c>
      <c r="C193" t="s">
        <v>66</v>
      </c>
      <c r="D193" t="s">
        <v>67</v>
      </c>
      <c r="E193" t="s">
        <v>68</v>
      </c>
      <c r="F193">
        <v>1</v>
      </c>
      <c r="G193">
        <v>1</v>
      </c>
      <c r="H193">
        <v>5</v>
      </c>
      <c r="I193" s="6">
        <v>420201001</v>
      </c>
      <c r="J193" t="s">
        <v>70</v>
      </c>
      <c r="K193" s="18">
        <f>2814033/1000</f>
        <v>2814.0329999999999</v>
      </c>
    </row>
    <row r="194" spans="1:11" x14ac:dyDescent="0.25">
      <c r="A194" t="s">
        <v>90</v>
      </c>
      <c r="B194" s="16">
        <v>1271538</v>
      </c>
      <c r="C194" t="s">
        <v>66</v>
      </c>
      <c r="D194" t="s">
        <v>67</v>
      </c>
      <c r="E194" t="s">
        <v>68</v>
      </c>
      <c r="F194">
        <v>2</v>
      </c>
      <c r="G194">
        <v>1</v>
      </c>
      <c r="H194">
        <v>5</v>
      </c>
      <c r="I194" s="6">
        <v>420105001</v>
      </c>
      <c r="J194" t="s">
        <v>71</v>
      </c>
      <c r="K194" s="18">
        <f>9275728/1000</f>
        <v>9275.7279999999992</v>
      </c>
    </row>
    <row r="195" spans="1:11" x14ac:dyDescent="0.25">
      <c r="A195" t="s">
        <v>90</v>
      </c>
      <c r="B195" s="16">
        <v>1271538</v>
      </c>
      <c r="C195" t="s">
        <v>66</v>
      </c>
      <c r="D195" t="s">
        <v>67</v>
      </c>
      <c r="E195" t="s">
        <v>68</v>
      </c>
      <c r="F195">
        <v>2</v>
      </c>
      <c r="G195">
        <v>1</v>
      </c>
      <c r="H195">
        <v>5</v>
      </c>
      <c r="I195" s="6">
        <v>420102004</v>
      </c>
      <c r="J195" t="s">
        <v>76</v>
      </c>
      <c r="K195" s="18">
        <f>2037297/1000</f>
        <v>2037.297</v>
      </c>
    </row>
    <row r="196" spans="1:11" x14ac:dyDescent="0.25">
      <c r="A196" t="s">
        <v>90</v>
      </c>
      <c r="B196" s="16">
        <v>1271538</v>
      </c>
      <c r="C196" t="s">
        <v>66</v>
      </c>
      <c r="D196" t="s">
        <v>67</v>
      </c>
      <c r="E196" t="s">
        <v>68</v>
      </c>
      <c r="F196">
        <v>2</v>
      </c>
      <c r="G196">
        <v>1</v>
      </c>
      <c r="H196">
        <v>5</v>
      </c>
      <c r="I196" s="6">
        <v>320101001</v>
      </c>
      <c r="J196" t="s">
        <v>72</v>
      </c>
      <c r="K196" s="18">
        <f>3635270/1000</f>
        <v>3635.27</v>
      </c>
    </row>
    <row r="197" spans="1:11" x14ac:dyDescent="0.25">
      <c r="A197" t="s">
        <v>90</v>
      </c>
      <c r="B197" s="16">
        <v>1271538</v>
      </c>
      <c r="C197" t="s">
        <v>66</v>
      </c>
      <c r="D197" t="s">
        <v>67</v>
      </c>
      <c r="E197" t="s">
        <v>68</v>
      </c>
      <c r="F197">
        <v>2</v>
      </c>
      <c r="G197">
        <v>1</v>
      </c>
      <c r="H197">
        <v>1</v>
      </c>
      <c r="I197" s="6">
        <v>420201001</v>
      </c>
      <c r="J197" t="s">
        <v>70</v>
      </c>
      <c r="K197" s="18">
        <f>4268526/1000</f>
        <v>4268.5259999999998</v>
      </c>
    </row>
    <row r="198" spans="1:11" x14ac:dyDescent="0.25">
      <c r="A198" t="s">
        <v>91</v>
      </c>
      <c r="B198" s="16">
        <v>1271538</v>
      </c>
      <c r="C198" t="s">
        <v>66</v>
      </c>
      <c r="D198" t="s">
        <v>67</v>
      </c>
      <c r="E198" t="s">
        <v>68</v>
      </c>
      <c r="F198">
        <v>1</v>
      </c>
      <c r="G198">
        <v>1</v>
      </c>
      <c r="H198">
        <v>4</v>
      </c>
      <c r="I198" s="6">
        <v>420105001</v>
      </c>
      <c r="J198" t="s">
        <v>71</v>
      </c>
      <c r="K198" s="18">
        <f>5630109/1000</f>
        <v>5630.1090000000004</v>
      </c>
    </row>
    <row r="199" spans="1:11" x14ac:dyDescent="0.25">
      <c r="A199" t="s">
        <v>91</v>
      </c>
      <c r="B199" s="16">
        <v>1271538</v>
      </c>
      <c r="C199" t="s">
        <v>66</v>
      </c>
      <c r="D199" t="s">
        <v>67</v>
      </c>
      <c r="E199" t="s">
        <v>68</v>
      </c>
      <c r="F199">
        <v>1</v>
      </c>
      <c r="G199">
        <v>1</v>
      </c>
      <c r="H199">
        <v>4</v>
      </c>
      <c r="I199" s="6">
        <v>420102004</v>
      </c>
      <c r="J199" t="s">
        <v>76</v>
      </c>
      <c r="K199" s="18">
        <f>1377071/1000</f>
        <v>1377.0709999999999</v>
      </c>
    </row>
    <row r="200" spans="1:11" x14ac:dyDescent="0.25">
      <c r="A200" t="s">
        <v>91</v>
      </c>
      <c r="B200" s="16">
        <v>1271538</v>
      </c>
      <c r="C200" t="s">
        <v>66</v>
      </c>
      <c r="D200" t="s">
        <v>67</v>
      </c>
      <c r="E200" t="s">
        <v>68</v>
      </c>
      <c r="F200">
        <v>1</v>
      </c>
      <c r="G200">
        <v>1</v>
      </c>
      <c r="H200">
        <v>4</v>
      </c>
      <c r="I200" s="6">
        <v>320101001</v>
      </c>
      <c r="J200" t="s">
        <v>72</v>
      </c>
      <c r="K200" s="18">
        <f>3113614/1000</f>
        <v>3113.614</v>
      </c>
    </row>
    <row r="201" spans="1:11" x14ac:dyDescent="0.25">
      <c r="A201" t="s">
        <v>91</v>
      </c>
      <c r="B201" s="16">
        <v>1271538</v>
      </c>
      <c r="C201" t="s">
        <v>66</v>
      </c>
      <c r="D201" t="s">
        <v>67</v>
      </c>
      <c r="E201" t="s">
        <v>68</v>
      </c>
      <c r="F201">
        <v>1</v>
      </c>
      <c r="G201">
        <v>1</v>
      </c>
      <c r="H201">
        <v>4</v>
      </c>
      <c r="I201" s="6">
        <v>420201001</v>
      </c>
      <c r="J201" t="s">
        <v>70</v>
      </c>
      <c r="K201" s="18">
        <f>2272218/1000</f>
        <v>2272.2179999999998</v>
      </c>
    </row>
    <row r="202" spans="1:11" x14ac:dyDescent="0.25">
      <c r="A202" t="s">
        <v>91</v>
      </c>
      <c r="B202" s="16">
        <v>1271538</v>
      </c>
      <c r="C202" t="s">
        <v>66</v>
      </c>
      <c r="D202" t="s">
        <v>67</v>
      </c>
      <c r="E202" t="s">
        <v>68</v>
      </c>
      <c r="F202">
        <v>1</v>
      </c>
      <c r="G202">
        <v>1</v>
      </c>
      <c r="H202">
        <v>1</v>
      </c>
      <c r="I202" s="6">
        <v>420105001</v>
      </c>
      <c r="J202" t="s">
        <v>71</v>
      </c>
      <c r="K202" s="18">
        <f>469347/1000</f>
        <v>469.34699999999998</v>
      </c>
    </row>
    <row r="203" spans="1:11" x14ac:dyDescent="0.25">
      <c r="A203" t="s">
        <v>91</v>
      </c>
      <c r="B203" s="16">
        <v>1271538</v>
      </c>
      <c r="C203" t="s">
        <v>66</v>
      </c>
      <c r="D203" t="s">
        <v>67</v>
      </c>
      <c r="E203" t="s">
        <v>68</v>
      </c>
      <c r="F203">
        <v>1</v>
      </c>
      <c r="G203">
        <v>1</v>
      </c>
      <c r="H203">
        <v>5</v>
      </c>
      <c r="I203" s="6">
        <v>420105001</v>
      </c>
      <c r="J203" t="s">
        <v>71</v>
      </c>
      <c r="K203" s="18">
        <f>1122645/1000</f>
        <v>1122.645</v>
      </c>
    </row>
    <row r="204" spans="1:11" x14ac:dyDescent="0.25">
      <c r="A204" t="s">
        <v>91</v>
      </c>
      <c r="B204" s="16">
        <v>1271538</v>
      </c>
      <c r="C204" t="s">
        <v>66</v>
      </c>
      <c r="D204" t="s">
        <v>67</v>
      </c>
      <c r="E204" t="s">
        <v>68</v>
      </c>
      <c r="F204">
        <v>1</v>
      </c>
      <c r="G204">
        <v>1</v>
      </c>
      <c r="H204">
        <v>5</v>
      </c>
      <c r="I204" s="6">
        <v>420102004</v>
      </c>
      <c r="J204" t="s">
        <v>76</v>
      </c>
      <c r="K204" s="18">
        <f>90489/1000</f>
        <v>90.489000000000004</v>
      </c>
    </row>
    <row r="205" spans="1:11" x14ac:dyDescent="0.25">
      <c r="A205" t="s">
        <v>91</v>
      </c>
      <c r="B205" s="16">
        <v>1271538</v>
      </c>
      <c r="C205" t="s">
        <v>66</v>
      </c>
      <c r="D205" t="s">
        <v>67</v>
      </c>
      <c r="E205" t="s">
        <v>68</v>
      </c>
      <c r="F205">
        <v>1</v>
      </c>
      <c r="G205">
        <v>1</v>
      </c>
      <c r="H205">
        <v>5</v>
      </c>
      <c r="I205" s="6">
        <v>320101001</v>
      </c>
      <c r="J205" t="s">
        <v>72</v>
      </c>
      <c r="K205" s="18">
        <f>107766/1000</f>
        <v>107.76600000000001</v>
      </c>
    </row>
    <row r="206" spans="1:11" x14ac:dyDescent="0.25">
      <c r="A206" t="s">
        <v>91</v>
      </c>
      <c r="B206" s="16">
        <v>1271538</v>
      </c>
      <c r="C206" t="s">
        <v>66</v>
      </c>
      <c r="D206" t="s">
        <v>67</v>
      </c>
      <c r="E206" t="s">
        <v>68</v>
      </c>
      <c r="F206">
        <v>1</v>
      </c>
      <c r="G206">
        <v>1</v>
      </c>
      <c r="H206">
        <v>5</v>
      </c>
      <c r="I206" s="6">
        <v>420201001</v>
      </c>
      <c r="J206" t="s">
        <v>70</v>
      </c>
      <c r="K206" s="18">
        <f>3000720/1000</f>
        <v>3000.72</v>
      </c>
    </row>
    <row r="207" spans="1:11" x14ac:dyDescent="0.25">
      <c r="A207" t="s">
        <v>91</v>
      </c>
      <c r="B207" s="16">
        <v>1271538</v>
      </c>
      <c r="C207" t="s">
        <v>66</v>
      </c>
      <c r="D207" t="s">
        <v>67</v>
      </c>
      <c r="E207" t="s">
        <v>68</v>
      </c>
      <c r="F207">
        <v>2</v>
      </c>
      <c r="G207">
        <v>1</v>
      </c>
      <c r="H207">
        <v>5</v>
      </c>
      <c r="I207" s="6">
        <v>420105001</v>
      </c>
      <c r="J207" t="s">
        <v>71</v>
      </c>
      <c r="K207" s="18">
        <f>5318382/1000</f>
        <v>5318.3819999999996</v>
      </c>
    </row>
    <row r="208" spans="1:11" x14ac:dyDescent="0.25">
      <c r="A208" t="s">
        <v>91</v>
      </c>
      <c r="B208" s="16">
        <v>1271538</v>
      </c>
      <c r="C208" t="s">
        <v>66</v>
      </c>
      <c r="D208" t="s">
        <v>67</v>
      </c>
      <c r="E208" t="s">
        <v>68</v>
      </c>
      <c r="F208">
        <v>2</v>
      </c>
      <c r="G208">
        <v>1</v>
      </c>
      <c r="H208">
        <v>5</v>
      </c>
      <c r="I208" s="6">
        <v>420102004</v>
      </c>
      <c r="J208" t="s">
        <v>76</v>
      </c>
      <c r="K208" s="18">
        <f>1316147/1000</f>
        <v>1316.1469999999999</v>
      </c>
    </row>
    <row r="209" spans="1:11" x14ac:dyDescent="0.25">
      <c r="A209" t="s">
        <v>91</v>
      </c>
      <c r="B209" s="16">
        <v>1271538</v>
      </c>
      <c r="C209" t="s">
        <v>66</v>
      </c>
      <c r="D209" t="s">
        <v>67</v>
      </c>
      <c r="E209" t="s">
        <v>68</v>
      </c>
      <c r="F209">
        <v>2</v>
      </c>
      <c r="G209">
        <v>1</v>
      </c>
      <c r="H209">
        <v>5</v>
      </c>
      <c r="I209" s="6">
        <v>320101001</v>
      </c>
      <c r="J209" t="s">
        <v>72</v>
      </c>
      <c r="K209" s="18">
        <f>4661654/1000</f>
        <v>4661.6540000000005</v>
      </c>
    </row>
    <row r="210" spans="1:11" x14ac:dyDescent="0.25">
      <c r="A210" t="s">
        <v>91</v>
      </c>
      <c r="B210" s="16">
        <v>1271538</v>
      </c>
      <c r="C210" t="s">
        <v>66</v>
      </c>
      <c r="D210" t="s">
        <v>67</v>
      </c>
      <c r="E210" t="s">
        <v>68</v>
      </c>
      <c r="F210">
        <v>2</v>
      </c>
      <c r="G210">
        <v>1</v>
      </c>
      <c r="H210">
        <v>1</v>
      </c>
      <c r="I210" s="6">
        <v>420105001</v>
      </c>
      <c r="J210" t="s">
        <v>71</v>
      </c>
      <c r="K210" s="18">
        <f>4261788/1000</f>
        <v>4261.7879999999996</v>
      </c>
    </row>
    <row r="211" spans="1:11" x14ac:dyDescent="0.25">
      <c r="A211" t="s">
        <v>92</v>
      </c>
      <c r="B211" s="16">
        <v>1271538</v>
      </c>
      <c r="C211" t="s">
        <v>66</v>
      </c>
      <c r="D211" t="s">
        <v>67</v>
      </c>
      <c r="E211" t="s">
        <v>68</v>
      </c>
      <c r="F211">
        <v>1</v>
      </c>
      <c r="G211">
        <v>1</v>
      </c>
      <c r="H211">
        <v>4</v>
      </c>
      <c r="I211" s="6">
        <v>420201001</v>
      </c>
      <c r="J211" t="s">
        <v>70</v>
      </c>
      <c r="K211" s="18">
        <f>2170742/1000</f>
        <v>2170.7420000000002</v>
      </c>
    </row>
    <row r="212" spans="1:11" x14ac:dyDescent="0.25">
      <c r="A212" t="s">
        <v>92</v>
      </c>
      <c r="B212" s="16">
        <v>1271538</v>
      </c>
      <c r="C212" t="s">
        <v>66</v>
      </c>
      <c r="D212" t="s">
        <v>67</v>
      </c>
      <c r="E212" t="s">
        <v>68</v>
      </c>
      <c r="F212">
        <v>1</v>
      </c>
      <c r="G212">
        <v>1</v>
      </c>
      <c r="H212">
        <v>4</v>
      </c>
      <c r="I212" s="6">
        <v>420102004</v>
      </c>
      <c r="J212" t="s">
        <v>76</v>
      </c>
      <c r="K212" s="18">
        <f>1024535/1000</f>
        <v>1024.5350000000001</v>
      </c>
    </row>
    <row r="213" spans="1:11" x14ac:dyDescent="0.25">
      <c r="A213" t="s">
        <v>92</v>
      </c>
      <c r="B213" s="16">
        <v>1271538</v>
      </c>
      <c r="C213" t="s">
        <v>66</v>
      </c>
      <c r="D213" t="s">
        <v>67</v>
      </c>
      <c r="E213" t="s">
        <v>68</v>
      </c>
      <c r="F213">
        <v>1</v>
      </c>
      <c r="G213">
        <v>1</v>
      </c>
      <c r="H213">
        <v>4</v>
      </c>
      <c r="I213" s="6">
        <v>320101001</v>
      </c>
      <c r="J213" t="s">
        <v>72</v>
      </c>
      <c r="K213" s="18">
        <f>3594484/1000</f>
        <v>3594.4839999999999</v>
      </c>
    </row>
    <row r="214" spans="1:11" x14ac:dyDescent="0.25">
      <c r="A214" t="s">
        <v>92</v>
      </c>
      <c r="B214" s="16">
        <v>1271538</v>
      </c>
      <c r="C214" t="s">
        <v>66</v>
      </c>
      <c r="D214" t="s">
        <v>67</v>
      </c>
      <c r="E214" t="s">
        <v>68</v>
      </c>
      <c r="F214">
        <v>1</v>
      </c>
      <c r="G214">
        <v>1</v>
      </c>
      <c r="H214">
        <v>4</v>
      </c>
      <c r="I214" s="6">
        <v>420105001</v>
      </c>
      <c r="J214" t="s">
        <v>71</v>
      </c>
      <c r="K214" s="18">
        <f>6695231/1000</f>
        <v>6695.2309999999998</v>
      </c>
    </row>
    <row r="215" spans="1:11" x14ac:dyDescent="0.25">
      <c r="A215" t="s">
        <v>92</v>
      </c>
      <c r="B215" s="16">
        <v>1271538</v>
      </c>
      <c r="C215" t="s">
        <v>66</v>
      </c>
      <c r="D215" t="s">
        <v>67</v>
      </c>
      <c r="E215" t="s">
        <v>68</v>
      </c>
      <c r="F215">
        <v>1</v>
      </c>
      <c r="G215">
        <v>1</v>
      </c>
      <c r="H215">
        <v>1</v>
      </c>
      <c r="I215" s="6">
        <v>420105001</v>
      </c>
      <c r="J215" t="s">
        <v>71</v>
      </c>
      <c r="K215" s="18">
        <f>655178/1000</f>
        <v>655.178</v>
      </c>
    </row>
    <row r="216" spans="1:11" x14ac:dyDescent="0.25">
      <c r="A216" t="s">
        <v>92</v>
      </c>
      <c r="B216" s="16">
        <v>1271538</v>
      </c>
      <c r="C216" t="s">
        <v>66</v>
      </c>
      <c r="D216" t="s">
        <v>67</v>
      </c>
      <c r="E216" t="s">
        <v>68</v>
      </c>
      <c r="F216">
        <v>1</v>
      </c>
      <c r="G216">
        <v>1</v>
      </c>
      <c r="H216">
        <v>5</v>
      </c>
      <c r="I216" s="6">
        <v>420201001</v>
      </c>
      <c r="J216" t="s">
        <v>70</v>
      </c>
      <c r="K216" s="18">
        <f>2340059/1000</f>
        <v>2340.0590000000002</v>
      </c>
    </row>
    <row r="217" spans="1:11" x14ac:dyDescent="0.25">
      <c r="A217" t="s">
        <v>92</v>
      </c>
      <c r="B217" s="16">
        <v>1271538</v>
      </c>
      <c r="C217" t="s">
        <v>66</v>
      </c>
      <c r="D217" t="s">
        <v>67</v>
      </c>
      <c r="E217" t="s">
        <v>68</v>
      </c>
      <c r="F217">
        <v>1</v>
      </c>
      <c r="G217">
        <v>1</v>
      </c>
      <c r="H217">
        <v>5</v>
      </c>
      <c r="I217" s="6">
        <v>420102004</v>
      </c>
      <c r="J217" t="s">
        <v>76</v>
      </c>
      <c r="K217" s="18">
        <f>46075/1000</f>
        <v>46.075000000000003</v>
      </c>
    </row>
    <row r="218" spans="1:11" x14ac:dyDescent="0.25">
      <c r="A218" t="s">
        <v>92</v>
      </c>
      <c r="B218" s="16">
        <v>1271538</v>
      </c>
      <c r="C218" t="s">
        <v>66</v>
      </c>
      <c r="D218" t="s">
        <v>67</v>
      </c>
      <c r="E218" t="s">
        <v>68</v>
      </c>
      <c r="F218">
        <v>1</v>
      </c>
      <c r="G218">
        <v>1</v>
      </c>
      <c r="H218">
        <v>5</v>
      </c>
      <c r="I218" s="6">
        <v>420105001</v>
      </c>
      <c r="J218" t="s">
        <v>71</v>
      </c>
      <c r="K218" s="18">
        <f>1523610/1000</f>
        <v>1523.61</v>
      </c>
    </row>
    <row r="219" spans="1:11" x14ac:dyDescent="0.25">
      <c r="A219" t="s">
        <v>92</v>
      </c>
      <c r="B219" s="16">
        <v>1271538</v>
      </c>
      <c r="C219" t="s">
        <v>66</v>
      </c>
      <c r="D219" t="s">
        <v>67</v>
      </c>
      <c r="E219" t="s">
        <v>68</v>
      </c>
      <c r="F219">
        <v>2</v>
      </c>
      <c r="G219">
        <v>1</v>
      </c>
      <c r="H219">
        <v>1</v>
      </c>
      <c r="I219" s="6">
        <v>420105001</v>
      </c>
      <c r="J219" t="s">
        <v>71</v>
      </c>
      <c r="K219" s="18">
        <f>4107652/1000</f>
        <v>4107.652</v>
      </c>
    </row>
    <row r="220" spans="1:11" x14ac:dyDescent="0.25">
      <c r="A220" t="s">
        <v>92</v>
      </c>
      <c r="B220" s="16">
        <v>1271538</v>
      </c>
      <c r="C220" t="s">
        <v>66</v>
      </c>
      <c r="D220" t="s">
        <v>67</v>
      </c>
      <c r="E220" t="s">
        <v>68</v>
      </c>
      <c r="F220">
        <v>2</v>
      </c>
      <c r="G220">
        <v>1</v>
      </c>
      <c r="H220">
        <v>5</v>
      </c>
      <c r="I220" s="6">
        <v>420102004</v>
      </c>
      <c r="J220" t="s">
        <v>76</v>
      </c>
      <c r="K220" s="18">
        <f>2404863/1000</f>
        <v>2404.8629999999998</v>
      </c>
    </row>
    <row r="221" spans="1:11" x14ac:dyDescent="0.25">
      <c r="A221" t="s">
        <v>92</v>
      </c>
      <c r="B221" s="16">
        <v>1271538</v>
      </c>
      <c r="C221" t="s">
        <v>66</v>
      </c>
      <c r="D221" t="s">
        <v>67</v>
      </c>
      <c r="E221" t="s">
        <v>68</v>
      </c>
      <c r="F221">
        <v>2</v>
      </c>
      <c r="G221">
        <v>1</v>
      </c>
      <c r="H221">
        <v>5</v>
      </c>
      <c r="I221" s="6">
        <v>320101001</v>
      </c>
      <c r="J221" t="s">
        <v>72</v>
      </c>
      <c r="K221" s="18">
        <f>4551590/1000</f>
        <v>4551.59</v>
      </c>
    </row>
    <row r="222" spans="1:11" x14ac:dyDescent="0.25">
      <c r="A222" t="s">
        <v>92</v>
      </c>
      <c r="B222" s="16">
        <v>1271538</v>
      </c>
      <c r="C222" t="s">
        <v>66</v>
      </c>
      <c r="D222" t="s">
        <v>67</v>
      </c>
      <c r="E222" t="s">
        <v>68</v>
      </c>
      <c r="F222">
        <v>2</v>
      </c>
      <c r="G222">
        <v>1</v>
      </c>
      <c r="H222">
        <v>5</v>
      </c>
      <c r="I222" s="6">
        <v>420105001</v>
      </c>
      <c r="J222" t="s">
        <v>71</v>
      </c>
      <c r="K222" s="18">
        <f>7763169/1000</f>
        <v>7763.1689999999999</v>
      </c>
    </row>
    <row r="223" spans="1:11" x14ac:dyDescent="0.25">
      <c r="A223" t="s">
        <v>93</v>
      </c>
      <c r="B223" s="16">
        <v>1271538</v>
      </c>
      <c r="C223" t="s">
        <v>66</v>
      </c>
      <c r="D223" t="s">
        <v>67</v>
      </c>
      <c r="E223" t="s">
        <v>68</v>
      </c>
      <c r="F223">
        <v>1</v>
      </c>
      <c r="G223">
        <v>1</v>
      </c>
      <c r="H223">
        <v>4</v>
      </c>
      <c r="I223" s="6">
        <v>420201001</v>
      </c>
      <c r="J223" t="s">
        <v>70</v>
      </c>
      <c r="K223" s="18">
        <f>3171918/1000</f>
        <v>3171.9180000000001</v>
      </c>
    </row>
    <row r="224" spans="1:11" x14ac:dyDescent="0.25">
      <c r="A224" t="s">
        <v>93</v>
      </c>
      <c r="B224" s="16">
        <v>1271538</v>
      </c>
      <c r="C224" t="s">
        <v>66</v>
      </c>
      <c r="D224" t="s">
        <v>67</v>
      </c>
      <c r="E224" t="s">
        <v>68</v>
      </c>
      <c r="F224">
        <v>1</v>
      </c>
      <c r="G224">
        <v>1</v>
      </c>
      <c r="H224">
        <v>4</v>
      </c>
      <c r="I224" s="6">
        <v>420102004</v>
      </c>
      <c r="J224" t="s">
        <v>76</v>
      </c>
      <c r="K224" s="18">
        <f>3867463/1000</f>
        <v>3867.4630000000002</v>
      </c>
    </row>
    <row r="225" spans="1:11" x14ac:dyDescent="0.25">
      <c r="A225" t="s">
        <v>93</v>
      </c>
      <c r="B225" s="16">
        <v>1271538</v>
      </c>
      <c r="C225" t="s">
        <v>66</v>
      </c>
      <c r="D225" t="s">
        <v>67</v>
      </c>
      <c r="E225" t="s">
        <v>68</v>
      </c>
      <c r="F225">
        <v>1</v>
      </c>
      <c r="G225">
        <v>1</v>
      </c>
      <c r="H225">
        <v>4</v>
      </c>
      <c r="I225" s="6">
        <v>320101001</v>
      </c>
      <c r="J225" t="s">
        <v>72</v>
      </c>
      <c r="K225" s="18">
        <f>7073393/1000</f>
        <v>7073.393</v>
      </c>
    </row>
    <row r="226" spans="1:11" x14ac:dyDescent="0.25">
      <c r="A226" t="s">
        <v>93</v>
      </c>
      <c r="B226" s="16">
        <v>1271538</v>
      </c>
      <c r="C226" t="s">
        <v>66</v>
      </c>
      <c r="D226" t="s">
        <v>67</v>
      </c>
      <c r="E226" t="s">
        <v>68</v>
      </c>
      <c r="F226">
        <v>1</v>
      </c>
      <c r="G226">
        <v>1</v>
      </c>
      <c r="H226">
        <v>4</v>
      </c>
      <c r="I226" s="6">
        <v>420105001</v>
      </c>
      <c r="J226" t="s">
        <v>71</v>
      </c>
      <c r="K226" s="18">
        <f>7715932/1000</f>
        <v>7715.9319999999998</v>
      </c>
    </row>
    <row r="227" spans="1:11" x14ac:dyDescent="0.25">
      <c r="A227" t="s">
        <v>93</v>
      </c>
      <c r="B227" s="16">
        <v>1271538</v>
      </c>
      <c r="C227" t="s">
        <v>66</v>
      </c>
      <c r="D227" t="s">
        <v>67</v>
      </c>
      <c r="E227" t="s">
        <v>68</v>
      </c>
      <c r="F227">
        <v>1</v>
      </c>
      <c r="G227">
        <v>1</v>
      </c>
      <c r="H227">
        <v>1</v>
      </c>
      <c r="I227" s="6">
        <v>420105001</v>
      </c>
      <c r="J227" t="s">
        <v>71</v>
      </c>
      <c r="K227" s="18">
        <f>590554/1000</f>
        <v>590.55399999999997</v>
      </c>
    </row>
    <row r="228" spans="1:11" x14ac:dyDescent="0.25">
      <c r="A228" t="s">
        <v>93</v>
      </c>
      <c r="B228" s="16">
        <v>1271538</v>
      </c>
      <c r="C228" t="s">
        <v>66</v>
      </c>
      <c r="D228" t="s">
        <v>67</v>
      </c>
      <c r="E228" t="s">
        <v>68</v>
      </c>
      <c r="F228">
        <v>1</v>
      </c>
      <c r="G228">
        <v>1</v>
      </c>
      <c r="H228">
        <v>5</v>
      </c>
      <c r="I228" s="6">
        <v>420201001</v>
      </c>
      <c r="J228" t="s">
        <v>70</v>
      </c>
      <c r="K228" s="18">
        <f>1063064/1000</f>
        <v>1063.0640000000001</v>
      </c>
    </row>
    <row r="229" spans="1:11" x14ac:dyDescent="0.25">
      <c r="A229" t="s">
        <v>93</v>
      </c>
      <c r="B229" s="16">
        <v>1271538</v>
      </c>
      <c r="C229" t="s">
        <v>66</v>
      </c>
      <c r="D229" t="s">
        <v>67</v>
      </c>
      <c r="E229" t="s">
        <v>68</v>
      </c>
      <c r="F229">
        <v>1</v>
      </c>
      <c r="G229">
        <v>1</v>
      </c>
      <c r="H229">
        <v>5</v>
      </c>
      <c r="I229" s="6">
        <v>420102004</v>
      </c>
      <c r="J229" t="s">
        <v>76</v>
      </c>
      <c r="K229" s="18">
        <f>103250/1000</f>
        <v>103.25</v>
      </c>
    </row>
    <row r="230" spans="1:11" x14ac:dyDescent="0.25">
      <c r="A230" t="s">
        <v>93</v>
      </c>
      <c r="B230" s="16">
        <v>1271538</v>
      </c>
      <c r="C230" t="s">
        <v>66</v>
      </c>
      <c r="D230" t="s">
        <v>67</v>
      </c>
      <c r="E230" t="s">
        <v>68</v>
      </c>
      <c r="F230">
        <v>2</v>
      </c>
      <c r="G230">
        <v>1</v>
      </c>
      <c r="H230">
        <v>1</v>
      </c>
      <c r="I230" s="6">
        <v>420105001</v>
      </c>
      <c r="J230" t="s">
        <v>71</v>
      </c>
      <c r="K230" s="18">
        <f>5035371/1000</f>
        <v>5035.3710000000001</v>
      </c>
    </row>
    <row r="231" spans="1:11" x14ac:dyDescent="0.25">
      <c r="A231" t="s">
        <v>93</v>
      </c>
      <c r="B231" s="16">
        <v>1271538</v>
      </c>
      <c r="C231" t="s">
        <v>66</v>
      </c>
      <c r="D231" t="s">
        <v>67</v>
      </c>
      <c r="E231" t="s">
        <v>68</v>
      </c>
      <c r="F231">
        <v>2</v>
      </c>
      <c r="G231">
        <v>1</v>
      </c>
      <c r="H231">
        <v>5</v>
      </c>
      <c r="I231" s="6">
        <v>420102004</v>
      </c>
      <c r="J231" t="s">
        <v>76</v>
      </c>
      <c r="K231" s="18">
        <f>2784190/1000</f>
        <v>2784.19</v>
      </c>
    </row>
    <row r="232" spans="1:11" x14ac:dyDescent="0.25">
      <c r="A232" t="s">
        <v>93</v>
      </c>
      <c r="B232" s="16">
        <v>1271538</v>
      </c>
      <c r="C232" t="s">
        <v>66</v>
      </c>
      <c r="D232" t="s">
        <v>67</v>
      </c>
      <c r="E232" t="s">
        <v>68</v>
      </c>
      <c r="F232">
        <v>2</v>
      </c>
      <c r="G232">
        <v>1</v>
      </c>
      <c r="H232">
        <v>5</v>
      </c>
      <c r="I232" s="6">
        <v>320101001</v>
      </c>
      <c r="J232" t="s">
        <v>72</v>
      </c>
      <c r="K232" s="18">
        <f>4579471/1000</f>
        <v>4579.4709999999995</v>
      </c>
    </row>
    <row r="233" spans="1:11" x14ac:dyDescent="0.25">
      <c r="A233" t="s">
        <v>93</v>
      </c>
      <c r="B233" s="16">
        <v>1271538</v>
      </c>
      <c r="C233" t="s">
        <v>66</v>
      </c>
      <c r="D233" t="s">
        <v>67</v>
      </c>
      <c r="E233" t="s">
        <v>68</v>
      </c>
      <c r="F233">
        <v>2</v>
      </c>
      <c r="G233">
        <v>1</v>
      </c>
      <c r="H233">
        <v>5</v>
      </c>
      <c r="I233" s="6">
        <v>420105001</v>
      </c>
      <c r="J233" t="s">
        <v>71</v>
      </c>
      <c r="K233" s="18">
        <f>8329754/1000</f>
        <v>8329.7540000000008</v>
      </c>
    </row>
    <row r="234" spans="1:11" x14ac:dyDescent="0.25">
      <c r="A234" t="s">
        <v>94</v>
      </c>
      <c r="B234" s="16">
        <v>1271538</v>
      </c>
      <c r="C234" t="s">
        <v>66</v>
      </c>
      <c r="D234" t="s">
        <v>67</v>
      </c>
      <c r="E234" t="s">
        <v>68</v>
      </c>
      <c r="F234">
        <v>1</v>
      </c>
      <c r="G234">
        <v>1</v>
      </c>
      <c r="H234">
        <v>4</v>
      </c>
      <c r="I234" s="6">
        <v>420201001</v>
      </c>
      <c r="J234" t="s">
        <v>70</v>
      </c>
      <c r="K234" s="18">
        <f>2260659/1000</f>
        <v>2260.6590000000001</v>
      </c>
    </row>
    <row r="235" spans="1:11" x14ac:dyDescent="0.25">
      <c r="A235" t="s">
        <v>94</v>
      </c>
      <c r="B235" s="16">
        <v>1271538</v>
      </c>
      <c r="C235" t="s">
        <v>66</v>
      </c>
      <c r="D235" t="s">
        <v>67</v>
      </c>
      <c r="E235" t="s">
        <v>68</v>
      </c>
      <c r="F235">
        <v>1</v>
      </c>
      <c r="G235">
        <v>1</v>
      </c>
      <c r="H235">
        <v>4</v>
      </c>
      <c r="I235" s="6">
        <v>320101001</v>
      </c>
      <c r="J235" t="s">
        <v>72</v>
      </c>
      <c r="K235" s="18">
        <f>3040265/1000</f>
        <v>3040.2649999999999</v>
      </c>
    </row>
    <row r="236" spans="1:11" x14ac:dyDescent="0.25">
      <c r="A236" t="s">
        <v>94</v>
      </c>
      <c r="B236" s="16">
        <v>1271538</v>
      </c>
      <c r="C236" t="s">
        <v>66</v>
      </c>
      <c r="D236" t="s">
        <v>67</v>
      </c>
      <c r="E236" t="s">
        <v>68</v>
      </c>
      <c r="F236">
        <v>1</v>
      </c>
      <c r="G236">
        <v>1</v>
      </c>
      <c r="H236">
        <v>4</v>
      </c>
      <c r="I236" s="6">
        <v>420105001</v>
      </c>
      <c r="J236" t="s">
        <v>71</v>
      </c>
      <c r="K236" s="18">
        <f>3785359/1000</f>
        <v>3785.3589999999999</v>
      </c>
    </row>
    <row r="237" spans="1:11" x14ac:dyDescent="0.25">
      <c r="A237" t="s">
        <v>94</v>
      </c>
      <c r="B237" s="16">
        <v>1271538</v>
      </c>
      <c r="C237" t="s">
        <v>66</v>
      </c>
      <c r="D237" t="s">
        <v>67</v>
      </c>
      <c r="E237" t="s">
        <v>68</v>
      </c>
      <c r="F237">
        <v>1</v>
      </c>
      <c r="G237">
        <v>1</v>
      </c>
      <c r="H237">
        <v>1</v>
      </c>
      <c r="I237" s="6">
        <v>420105001</v>
      </c>
      <c r="J237" t="s">
        <v>71</v>
      </c>
      <c r="K237" s="18">
        <f>654214/1000</f>
        <v>654.21400000000006</v>
      </c>
    </row>
    <row r="238" spans="1:11" x14ac:dyDescent="0.25">
      <c r="A238" t="s">
        <v>94</v>
      </c>
      <c r="B238" s="16">
        <v>1271538</v>
      </c>
      <c r="C238" t="s">
        <v>66</v>
      </c>
      <c r="D238" t="s">
        <v>67</v>
      </c>
      <c r="E238" t="s">
        <v>68</v>
      </c>
      <c r="F238">
        <v>1</v>
      </c>
      <c r="G238">
        <v>1</v>
      </c>
      <c r="H238">
        <v>5</v>
      </c>
      <c r="I238" s="6">
        <v>420201001</v>
      </c>
      <c r="J238" t="s">
        <v>70</v>
      </c>
      <c r="K238" s="18">
        <f>2656315/1000</f>
        <v>2656.3150000000001</v>
      </c>
    </row>
    <row r="239" spans="1:11" x14ac:dyDescent="0.25">
      <c r="A239" t="s">
        <v>94</v>
      </c>
      <c r="B239" s="16">
        <v>1271538</v>
      </c>
      <c r="C239" t="s">
        <v>66</v>
      </c>
      <c r="D239" t="s">
        <v>67</v>
      </c>
      <c r="E239" t="s">
        <v>68</v>
      </c>
      <c r="F239">
        <v>1</v>
      </c>
      <c r="G239">
        <v>1</v>
      </c>
      <c r="H239">
        <v>5</v>
      </c>
      <c r="I239" s="6">
        <v>420105001</v>
      </c>
      <c r="J239" t="s">
        <v>71</v>
      </c>
      <c r="K239" s="18">
        <f>3529233/1000</f>
        <v>3529.2330000000002</v>
      </c>
    </row>
    <row r="240" spans="1:11" x14ac:dyDescent="0.25">
      <c r="A240" t="s">
        <v>94</v>
      </c>
      <c r="B240" s="16">
        <v>1271538</v>
      </c>
      <c r="C240" t="s">
        <v>66</v>
      </c>
      <c r="D240" t="s">
        <v>67</v>
      </c>
      <c r="E240" t="s">
        <v>68</v>
      </c>
      <c r="F240">
        <v>2</v>
      </c>
      <c r="G240">
        <v>1</v>
      </c>
      <c r="H240">
        <v>1</v>
      </c>
      <c r="I240" s="6">
        <v>420105001</v>
      </c>
      <c r="J240" t="s">
        <v>71</v>
      </c>
      <c r="K240" s="18">
        <f>4655727/1000</f>
        <v>4655.7269999999999</v>
      </c>
    </row>
    <row r="241" spans="1:11" x14ac:dyDescent="0.25">
      <c r="A241" t="s">
        <v>94</v>
      </c>
      <c r="B241" s="16">
        <v>1271538</v>
      </c>
      <c r="C241" t="s">
        <v>66</v>
      </c>
      <c r="D241" t="s">
        <v>67</v>
      </c>
      <c r="E241" t="s">
        <v>68</v>
      </c>
      <c r="F241">
        <v>2</v>
      </c>
      <c r="G241">
        <v>1</v>
      </c>
      <c r="H241">
        <v>5</v>
      </c>
      <c r="I241" s="6">
        <v>420102004</v>
      </c>
      <c r="J241" t="s">
        <v>76</v>
      </c>
      <c r="K241" s="18">
        <f>993800/1000</f>
        <v>993.8</v>
      </c>
    </row>
    <row r="242" spans="1:11" x14ac:dyDescent="0.25">
      <c r="A242" t="s">
        <v>94</v>
      </c>
      <c r="B242" s="16">
        <v>1271538</v>
      </c>
      <c r="C242" t="s">
        <v>66</v>
      </c>
      <c r="D242" t="s">
        <v>67</v>
      </c>
      <c r="E242" t="s">
        <v>68</v>
      </c>
      <c r="F242">
        <v>2</v>
      </c>
      <c r="G242">
        <v>1</v>
      </c>
      <c r="H242">
        <v>5</v>
      </c>
      <c r="I242" s="6">
        <v>320101001</v>
      </c>
      <c r="J242" t="s">
        <v>72</v>
      </c>
      <c r="K242" s="18">
        <f>4406770/1000</f>
        <v>4406.7700000000004</v>
      </c>
    </row>
    <row r="243" spans="1:11" x14ac:dyDescent="0.25">
      <c r="A243" t="s">
        <v>94</v>
      </c>
      <c r="B243" s="16">
        <v>1271538</v>
      </c>
      <c r="C243" t="s">
        <v>66</v>
      </c>
      <c r="D243" t="s">
        <v>67</v>
      </c>
      <c r="E243" t="s">
        <v>68</v>
      </c>
      <c r="F243">
        <v>2</v>
      </c>
      <c r="G243">
        <v>1</v>
      </c>
      <c r="H243">
        <v>5</v>
      </c>
      <c r="I243" s="6">
        <v>420105001</v>
      </c>
      <c r="J243" t="s">
        <v>71</v>
      </c>
      <c r="K243" s="18">
        <f>9456679/1000</f>
        <v>9456.6790000000001</v>
      </c>
    </row>
    <row r="244" spans="1:11" x14ac:dyDescent="0.25">
      <c r="A244" t="s">
        <v>95</v>
      </c>
      <c r="B244" s="16">
        <v>1271538</v>
      </c>
      <c r="C244" t="s">
        <v>66</v>
      </c>
      <c r="D244" t="s">
        <v>67</v>
      </c>
      <c r="E244" t="s">
        <v>68</v>
      </c>
      <c r="F244">
        <v>1</v>
      </c>
      <c r="G244">
        <v>1</v>
      </c>
      <c r="H244">
        <v>4</v>
      </c>
      <c r="I244" s="6">
        <v>420201001</v>
      </c>
      <c r="J244" t="s">
        <v>70</v>
      </c>
      <c r="K244" s="18">
        <f>4831564/1000</f>
        <v>4831.5640000000003</v>
      </c>
    </row>
    <row r="245" spans="1:11" x14ac:dyDescent="0.25">
      <c r="A245" t="s">
        <v>95</v>
      </c>
      <c r="B245" s="16">
        <v>1271538</v>
      </c>
      <c r="C245" t="s">
        <v>66</v>
      </c>
      <c r="D245" t="s">
        <v>67</v>
      </c>
      <c r="E245" t="s">
        <v>68</v>
      </c>
      <c r="F245">
        <v>1</v>
      </c>
      <c r="G245">
        <v>1</v>
      </c>
      <c r="H245">
        <v>5</v>
      </c>
      <c r="I245" s="6">
        <v>420201001</v>
      </c>
      <c r="J245" t="s">
        <v>70</v>
      </c>
      <c r="K245" s="18">
        <f>400843/1000</f>
        <v>400.84300000000002</v>
      </c>
    </row>
    <row r="246" spans="1:11" x14ac:dyDescent="0.25">
      <c r="A246" t="s">
        <v>95</v>
      </c>
      <c r="B246" s="16">
        <v>1271538</v>
      </c>
      <c r="C246" t="s">
        <v>66</v>
      </c>
      <c r="D246" t="s">
        <v>67</v>
      </c>
      <c r="E246" t="s">
        <v>68</v>
      </c>
      <c r="F246">
        <v>1</v>
      </c>
      <c r="G246">
        <v>1</v>
      </c>
      <c r="H246">
        <v>1</v>
      </c>
      <c r="I246" s="6">
        <v>420105001</v>
      </c>
      <c r="J246" t="s">
        <v>71</v>
      </c>
      <c r="K246" s="18">
        <f>2540974/1000</f>
        <v>2540.9740000000002</v>
      </c>
    </row>
    <row r="247" spans="1:11" x14ac:dyDescent="0.25">
      <c r="A247" t="s">
        <v>95</v>
      </c>
      <c r="B247" s="16">
        <v>1271538</v>
      </c>
      <c r="C247" t="s">
        <v>66</v>
      </c>
      <c r="D247" t="s">
        <v>67</v>
      </c>
      <c r="E247" t="s">
        <v>68</v>
      </c>
      <c r="F247">
        <v>1</v>
      </c>
      <c r="G247">
        <v>1</v>
      </c>
      <c r="H247">
        <v>4</v>
      </c>
      <c r="I247" s="6">
        <v>420105001</v>
      </c>
      <c r="J247" t="s">
        <v>71</v>
      </c>
      <c r="K247" s="18">
        <v>3497.038</v>
      </c>
    </row>
    <row r="248" spans="1:11" x14ac:dyDescent="0.25">
      <c r="A248" t="s">
        <v>95</v>
      </c>
      <c r="B248" s="16">
        <v>1271538</v>
      </c>
      <c r="C248" t="s">
        <v>66</v>
      </c>
      <c r="D248" t="s">
        <v>67</v>
      </c>
      <c r="E248" t="s">
        <v>68</v>
      </c>
      <c r="F248">
        <v>1</v>
      </c>
      <c r="G248">
        <v>1</v>
      </c>
      <c r="H248">
        <v>4</v>
      </c>
      <c r="I248" s="6">
        <v>420102004</v>
      </c>
      <c r="J248" t="s">
        <v>76</v>
      </c>
      <c r="K248" s="18">
        <f>905224/1000</f>
        <v>905.22400000000005</v>
      </c>
    </row>
    <row r="249" spans="1:11" x14ac:dyDescent="0.25">
      <c r="A249" t="s">
        <v>95</v>
      </c>
      <c r="B249" s="16">
        <v>1271538</v>
      </c>
      <c r="C249" t="s">
        <v>66</v>
      </c>
      <c r="D249" t="s">
        <v>67</v>
      </c>
      <c r="E249" t="s">
        <v>68</v>
      </c>
      <c r="F249">
        <v>1</v>
      </c>
      <c r="G249">
        <v>1</v>
      </c>
      <c r="H249">
        <v>5</v>
      </c>
      <c r="I249" s="6">
        <v>420102004</v>
      </c>
      <c r="J249" t="s">
        <v>76</v>
      </c>
      <c r="K249" s="18">
        <f>594551/1000</f>
        <v>594.55100000000004</v>
      </c>
    </row>
    <row r="250" spans="1:11" x14ac:dyDescent="0.25">
      <c r="A250" t="s">
        <v>95</v>
      </c>
      <c r="B250" s="16">
        <v>1271538</v>
      </c>
      <c r="C250" t="s">
        <v>66</v>
      </c>
      <c r="D250" t="s">
        <v>67</v>
      </c>
      <c r="E250" t="s">
        <v>68</v>
      </c>
      <c r="F250">
        <v>1</v>
      </c>
      <c r="G250">
        <v>1</v>
      </c>
      <c r="H250">
        <v>4</v>
      </c>
      <c r="I250" s="6">
        <v>320101001</v>
      </c>
      <c r="J250" t="s">
        <v>72</v>
      </c>
      <c r="K250" s="18">
        <f>2226795/1000</f>
        <v>2226.7950000000001</v>
      </c>
    </row>
    <row r="251" spans="1:11" x14ac:dyDescent="0.25">
      <c r="A251" t="s">
        <v>95</v>
      </c>
      <c r="B251" s="16">
        <v>1271538</v>
      </c>
      <c r="C251" t="s">
        <v>66</v>
      </c>
      <c r="D251" t="s">
        <v>67</v>
      </c>
      <c r="E251" t="s">
        <v>68</v>
      </c>
      <c r="F251">
        <v>1</v>
      </c>
      <c r="G251">
        <v>1</v>
      </c>
      <c r="H251">
        <v>5</v>
      </c>
      <c r="I251" s="6">
        <v>320101001</v>
      </c>
      <c r="J251" t="s">
        <v>72</v>
      </c>
      <c r="K251" s="18">
        <f>1287163/1000</f>
        <v>1287.163</v>
      </c>
    </row>
    <row r="252" spans="1:11" x14ac:dyDescent="0.25">
      <c r="A252" t="s">
        <v>95</v>
      </c>
      <c r="B252" s="16">
        <v>1271538</v>
      </c>
      <c r="C252" t="s">
        <v>66</v>
      </c>
      <c r="D252" t="s">
        <v>67</v>
      </c>
      <c r="E252" t="s">
        <v>68</v>
      </c>
      <c r="F252">
        <v>2</v>
      </c>
      <c r="G252">
        <v>1</v>
      </c>
      <c r="H252">
        <v>1</v>
      </c>
      <c r="I252" s="6">
        <v>420201001</v>
      </c>
      <c r="J252" t="s">
        <v>70</v>
      </c>
      <c r="K252" s="18">
        <f>5395935/1000</f>
        <v>5395.9350000000004</v>
      </c>
    </row>
    <row r="253" spans="1:11" x14ac:dyDescent="0.25">
      <c r="A253" t="s">
        <v>95</v>
      </c>
      <c r="B253" s="16">
        <v>1271538</v>
      </c>
      <c r="C253" t="s">
        <v>66</v>
      </c>
      <c r="D253" t="s">
        <v>67</v>
      </c>
      <c r="E253" t="s">
        <v>68</v>
      </c>
      <c r="F253">
        <v>2</v>
      </c>
      <c r="G253">
        <v>1</v>
      </c>
      <c r="H253">
        <v>5</v>
      </c>
      <c r="I253" s="6">
        <v>420105001</v>
      </c>
      <c r="J253" t="s">
        <v>71</v>
      </c>
      <c r="K253" s="18">
        <f>7059306/1000</f>
        <v>7059.3059999999996</v>
      </c>
    </row>
    <row r="254" spans="1:11" x14ac:dyDescent="0.25">
      <c r="A254" t="s">
        <v>95</v>
      </c>
      <c r="B254" s="16">
        <v>1271538</v>
      </c>
      <c r="C254" t="s">
        <v>66</v>
      </c>
      <c r="D254" t="s">
        <v>67</v>
      </c>
      <c r="E254" t="s">
        <v>68</v>
      </c>
      <c r="F254">
        <v>2</v>
      </c>
      <c r="G254">
        <v>1</v>
      </c>
      <c r="H254">
        <v>5</v>
      </c>
      <c r="I254" s="6">
        <v>420102004</v>
      </c>
      <c r="J254" t="s">
        <v>76</v>
      </c>
      <c r="K254" s="18">
        <f>1191879/1000</f>
        <v>1191.8789999999999</v>
      </c>
    </row>
    <row r="255" spans="1:11" x14ac:dyDescent="0.25">
      <c r="A255" t="s">
        <v>95</v>
      </c>
      <c r="B255" s="16">
        <v>1271538</v>
      </c>
      <c r="C255" t="s">
        <v>66</v>
      </c>
      <c r="D255" t="s">
        <v>67</v>
      </c>
      <c r="E255" t="s">
        <v>68</v>
      </c>
      <c r="F255">
        <v>2</v>
      </c>
      <c r="G255">
        <v>1</v>
      </c>
      <c r="H255">
        <v>5</v>
      </c>
      <c r="I255" s="6">
        <v>320101001</v>
      </c>
      <c r="J255" t="s">
        <v>72</v>
      </c>
      <c r="K255" s="18">
        <f>3614582/1000</f>
        <v>3614.5819999999999</v>
      </c>
    </row>
    <row r="256" spans="1:11" x14ac:dyDescent="0.25">
      <c r="A256" t="s">
        <v>96</v>
      </c>
      <c r="B256" s="16">
        <v>1271538</v>
      </c>
      <c r="C256" t="s">
        <v>66</v>
      </c>
      <c r="D256" t="s">
        <v>67</v>
      </c>
      <c r="E256" t="s">
        <v>68</v>
      </c>
      <c r="F256">
        <v>1</v>
      </c>
      <c r="G256">
        <v>1</v>
      </c>
      <c r="H256">
        <v>4</v>
      </c>
      <c r="I256" s="6">
        <v>420201001</v>
      </c>
      <c r="J256" t="s">
        <v>70</v>
      </c>
      <c r="K256" s="18">
        <f>4849021/1000</f>
        <v>4849.0209999999997</v>
      </c>
    </row>
    <row r="257" spans="1:11" x14ac:dyDescent="0.25">
      <c r="A257" t="s">
        <v>96</v>
      </c>
      <c r="B257" s="16">
        <v>1271538</v>
      </c>
      <c r="C257" t="s">
        <v>66</v>
      </c>
      <c r="D257" t="s">
        <v>67</v>
      </c>
      <c r="E257" t="s">
        <v>68</v>
      </c>
      <c r="F257">
        <v>1</v>
      </c>
      <c r="G257">
        <v>1</v>
      </c>
      <c r="H257">
        <v>4</v>
      </c>
      <c r="I257" s="6">
        <v>420102004</v>
      </c>
      <c r="J257" t="s">
        <v>76</v>
      </c>
      <c r="K257" s="18">
        <f>547491/1000</f>
        <v>547.49099999999999</v>
      </c>
    </row>
    <row r="258" spans="1:11" x14ac:dyDescent="0.25">
      <c r="A258" t="s">
        <v>96</v>
      </c>
      <c r="B258" s="16">
        <v>1271538</v>
      </c>
      <c r="C258" t="s">
        <v>66</v>
      </c>
      <c r="D258" t="s">
        <v>67</v>
      </c>
      <c r="E258" t="s">
        <v>68</v>
      </c>
      <c r="F258">
        <v>1</v>
      </c>
      <c r="G258">
        <v>1</v>
      </c>
      <c r="H258">
        <v>4</v>
      </c>
      <c r="I258" s="6">
        <v>320101001</v>
      </c>
      <c r="J258" t="s">
        <v>72</v>
      </c>
      <c r="K258" s="18">
        <f>4542162/1000</f>
        <v>4542.1620000000003</v>
      </c>
    </row>
    <row r="259" spans="1:11" x14ac:dyDescent="0.25">
      <c r="A259" t="s">
        <v>96</v>
      </c>
      <c r="B259" s="16">
        <v>1271538</v>
      </c>
      <c r="C259" t="s">
        <v>66</v>
      </c>
      <c r="D259" t="s">
        <v>67</v>
      </c>
      <c r="E259" t="s">
        <v>68</v>
      </c>
      <c r="F259">
        <v>1</v>
      </c>
      <c r="G259">
        <v>1</v>
      </c>
      <c r="H259">
        <v>4</v>
      </c>
      <c r="I259" s="6">
        <v>420105001</v>
      </c>
      <c r="J259" t="s">
        <v>71</v>
      </c>
      <c r="K259" s="18">
        <f>4512118/1000</f>
        <v>4512.1180000000004</v>
      </c>
    </row>
    <row r="260" spans="1:11" x14ac:dyDescent="0.25">
      <c r="A260" t="s">
        <v>96</v>
      </c>
      <c r="B260" s="16">
        <v>1271538</v>
      </c>
      <c r="C260" t="s">
        <v>66</v>
      </c>
      <c r="D260" t="s">
        <v>67</v>
      </c>
      <c r="E260" t="s">
        <v>68</v>
      </c>
      <c r="F260">
        <v>1</v>
      </c>
      <c r="G260">
        <v>1</v>
      </c>
      <c r="H260">
        <v>1</v>
      </c>
      <c r="I260" s="6">
        <v>420105001</v>
      </c>
      <c r="J260" t="s">
        <v>71</v>
      </c>
      <c r="K260" s="18">
        <f>2638442/1000</f>
        <v>2638.442</v>
      </c>
    </row>
    <row r="261" spans="1:11" x14ac:dyDescent="0.25">
      <c r="A261" t="s">
        <v>96</v>
      </c>
      <c r="B261" s="16">
        <v>1271538</v>
      </c>
      <c r="C261" t="s">
        <v>66</v>
      </c>
      <c r="D261" t="s">
        <v>67</v>
      </c>
      <c r="E261" t="s">
        <v>68</v>
      </c>
      <c r="F261">
        <v>1</v>
      </c>
      <c r="G261">
        <v>1</v>
      </c>
      <c r="H261">
        <v>5</v>
      </c>
      <c r="I261" s="6">
        <v>420201001</v>
      </c>
      <c r="J261" t="s">
        <v>70</v>
      </c>
      <c r="K261" s="18">
        <f>594759/1000</f>
        <v>594.75900000000001</v>
      </c>
    </row>
    <row r="262" spans="1:11" x14ac:dyDescent="0.25">
      <c r="A262" t="s">
        <v>96</v>
      </c>
      <c r="B262" s="16">
        <v>1271539</v>
      </c>
      <c r="C262" t="s">
        <v>66</v>
      </c>
      <c r="D262" t="s">
        <v>67</v>
      </c>
      <c r="E262" t="s">
        <v>68</v>
      </c>
      <c r="F262">
        <v>1</v>
      </c>
      <c r="G262">
        <v>1</v>
      </c>
      <c r="H262">
        <v>5</v>
      </c>
      <c r="I262" s="6">
        <v>420102004</v>
      </c>
      <c r="J262" t="s">
        <v>76</v>
      </c>
      <c r="K262" s="18">
        <f>200367/1000</f>
        <v>200.36699999999999</v>
      </c>
    </row>
    <row r="263" spans="1:11" x14ac:dyDescent="0.25">
      <c r="A263" t="s">
        <v>96</v>
      </c>
      <c r="B263" s="16">
        <v>1271538</v>
      </c>
      <c r="C263" t="s">
        <v>66</v>
      </c>
      <c r="D263" t="s">
        <v>67</v>
      </c>
      <c r="E263" t="s">
        <v>68</v>
      </c>
      <c r="F263">
        <v>1</v>
      </c>
      <c r="G263">
        <v>1</v>
      </c>
      <c r="H263">
        <v>5</v>
      </c>
      <c r="I263" s="6">
        <v>420105001</v>
      </c>
      <c r="J263" t="s">
        <v>71</v>
      </c>
      <c r="K263" s="18">
        <f>1305459/1000</f>
        <v>1305.4590000000001</v>
      </c>
    </row>
    <row r="264" spans="1:11" x14ac:dyDescent="0.25">
      <c r="A264" t="s">
        <v>96</v>
      </c>
      <c r="B264" s="16">
        <v>1271538</v>
      </c>
      <c r="C264" t="s">
        <v>66</v>
      </c>
      <c r="D264" t="s">
        <v>67</v>
      </c>
      <c r="E264" t="s">
        <v>68</v>
      </c>
      <c r="F264">
        <v>2</v>
      </c>
      <c r="G264">
        <v>1</v>
      </c>
      <c r="H264">
        <v>1</v>
      </c>
      <c r="I264" s="6">
        <v>420105001</v>
      </c>
      <c r="J264" t="s">
        <v>71</v>
      </c>
      <c r="K264" s="18">
        <f>6031217/1000</f>
        <v>6031.2169999999996</v>
      </c>
    </row>
    <row r="265" spans="1:11" x14ac:dyDescent="0.25">
      <c r="A265" t="s">
        <v>96</v>
      </c>
      <c r="B265" s="16">
        <v>1271538</v>
      </c>
      <c r="C265" t="s">
        <v>66</v>
      </c>
      <c r="D265" t="s">
        <v>67</v>
      </c>
      <c r="E265" t="s">
        <v>68</v>
      </c>
      <c r="F265">
        <v>2</v>
      </c>
      <c r="G265">
        <v>1</v>
      </c>
      <c r="H265">
        <v>5</v>
      </c>
      <c r="I265" s="6">
        <v>420102004</v>
      </c>
      <c r="J265" t="s">
        <v>76</v>
      </c>
      <c r="K265" s="18">
        <f>297720/1000</f>
        <v>297.72000000000003</v>
      </c>
    </row>
    <row r="266" spans="1:11" x14ac:dyDescent="0.25">
      <c r="A266" t="s">
        <v>96</v>
      </c>
      <c r="B266" s="16">
        <v>1271538</v>
      </c>
      <c r="C266" t="s">
        <v>66</v>
      </c>
      <c r="D266" t="s">
        <v>67</v>
      </c>
      <c r="E266" t="s">
        <v>68</v>
      </c>
      <c r="F266">
        <v>2</v>
      </c>
      <c r="G266">
        <v>1</v>
      </c>
      <c r="H266">
        <v>5</v>
      </c>
      <c r="I266" s="6">
        <v>320101001</v>
      </c>
      <c r="J266" t="s">
        <v>72</v>
      </c>
      <c r="K266" s="18">
        <f>5155599/1000</f>
        <v>5155.5990000000002</v>
      </c>
    </row>
    <row r="267" spans="1:11" x14ac:dyDescent="0.25">
      <c r="A267" t="s">
        <v>96</v>
      </c>
      <c r="B267" s="16">
        <v>1271538</v>
      </c>
      <c r="C267" t="s">
        <v>66</v>
      </c>
      <c r="D267" t="s">
        <v>67</v>
      </c>
      <c r="E267" t="s">
        <v>68</v>
      </c>
      <c r="F267">
        <v>2</v>
      </c>
      <c r="G267">
        <v>1</v>
      </c>
      <c r="H267">
        <v>5</v>
      </c>
      <c r="I267" s="6">
        <v>420105001</v>
      </c>
      <c r="J267" t="s">
        <v>71</v>
      </c>
      <c r="K267" s="18">
        <f>8131101/1000</f>
        <v>8131.1009999999997</v>
      </c>
    </row>
    <row r="268" spans="1:11" x14ac:dyDescent="0.25">
      <c r="A268" t="s">
        <v>97</v>
      </c>
      <c r="B268" s="16">
        <v>1271538</v>
      </c>
      <c r="C268" t="s">
        <v>66</v>
      </c>
      <c r="D268" t="s">
        <v>67</v>
      </c>
      <c r="E268" t="s">
        <v>68</v>
      </c>
      <c r="F268">
        <v>1</v>
      </c>
      <c r="G268">
        <v>1</v>
      </c>
      <c r="H268">
        <v>4</v>
      </c>
      <c r="I268" s="6">
        <v>420201001</v>
      </c>
      <c r="J268" t="s">
        <v>70</v>
      </c>
      <c r="K268" s="18">
        <f>1364190/1000</f>
        <v>1364.19</v>
      </c>
    </row>
    <row r="269" spans="1:11" x14ac:dyDescent="0.25">
      <c r="A269" t="s">
        <v>97</v>
      </c>
      <c r="B269" s="16">
        <v>1271538</v>
      </c>
      <c r="C269" t="s">
        <v>66</v>
      </c>
      <c r="D269" t="s">
        <v>67</v>
      </c>
      <c r="E269" t="s">
        <v>68</v>
      </c>
      <c r="F269">
        <v>1</v>
      </c>
      <c r="G269">
        <v>1</v>
      </c>
      <c r="H269">
        <v>4</v>
      </c>
      <c r="I269" s="6">
        <v>420102004</v>
      </c>
      <c r="J269" t="s">
        <v>76</v>
      </c>
      <c r="K269" s="18">
        <f>461100/1000</f>
        <v>461.1</v>
      </c>
    </row>
    <row r="270" spans="1:11" x14ac:dyDescent="0.25">
      <c r="A270" t="s">
        <v>97</v>
      </c>
      <c r="B270" s="16">
        <v>1271538</v>
      </c>
      <c r="C270" t="s">
        <v>66</v>
      </c>
      <c r="D270" t="s">
        <v>67</v>
      </c>
      <c r="E270" t="s">
        <v>68</v>
      </c>
      <c r="F270">
        <v>1</v>
      </c>
      <c r="G270">
        <v>1</v>
      </c>
      <c r="H270">
        <v>4</v>
      </c>
      <c r="I270" s="6">
        <v>420105001</v>
      </c>
      <c r="J270" t="s">
        <v>71</v>
      </c>
      <c r="K270" s="18">
        <f>307113/1000</f>
        <v>307.113</v>
      </c>
    </row>
    <row r="271" spans="1:11" x14ac:dyDescent="0.25">
      <c r="A271" t="s">
        <v>97</v>
      </c>
      <c r="B271" s="16">
        <v>1271538</v>
      </c>
      <c r="C271" t="s">
        <v>66</v>
      </c>
      <c r="D271" t="s">
        <v>67</v>
      </c>
      <c r="E271" t="s">
        <v>68</v>
      </c>
      <c r="F271">
        <v>1</v>
      </c>
      <c r="G271">
        <v>1</v>
      </c>
      <c r="H271">
        <v>5</v>
      </c>
      <c r="I271" s="6">
        <v>420201001</v>
      </c>
      <c r="J271" t="s">
        <v>70</v>
      </c>
      <c r="K271" s="18">
        <f>2006867/1000</f>
        <v>2006.867</v>
      </c>
    </row>
    <row r="272" spans="1:11" x14ac:dyDescent="0.25">
      <c r="A272" t="s">
        <v>97</v>
      </c>
      <c r="B272" s="16">
        <v>1271539</v>
      </c>
      <c r="C272" t="s">
        <v>66</v>
      </c>
      <c r="D272" t="s">
        <v>67</v>
      </c>
      <c r="E272" t="s">
        <v>68</v>
      </c>
      <c r="F272">
        <v>1</v>
      </c>
      <c r="G272">
        <v>1</v>
      </c>
      <c r="H272">
        <v>5</v>
      </c>
      <c r="I272" s="6">
        <v>420102004</v>
      </c>
      <c r="J272" t="s">
        <v>76</v>
      </c>
      <c r="K272" s="18">
        <f>205551/1000</f>
        <v>205.55099999999999</v>
      </c>
    </row>
    <row r="273" spans="1:11" x14ac:dyDescent="0.25">
      <c r="A273" t="s">
        <v>97</v>
      </c>
      <c r="B273" s="16">
        <v>1271538</v>
      </c>
      <c r="C273" t="s">
        <v>66</v>
      </c>
      <c r="D273" t="s">
        <v>67</v>
      </c>
      <c r="E273" t="s">
        <v>68</v>
      </c>
      <c r="F273">
        <v>2</v>
      </c>
      <c r="G273">
        <v>1</v>
      </c>
      <c r="H273">
        <v>1</v>
      </c>
      <c r="I273" s="6">
        <v>420105001</v>
      </c>
      <c r="J273" t="s">
        <v>71</v>
      </c>
      <c r="K273" s="18">
        <f>4116178/1000</f>
        <v>4116.1779999999999</v>
      </c>
    </row>
    <row r="274" spans="1:11" x14ac:dyDescent="0.25">
      <c r="A274" t="s">
        <v>97</v>
      </c>
      <c r="B274" s="16">
        <v>1271538</v>
      </c>
      <c r="C274" t="s">
        <v>66</v>
      </c>
      <c r="D274" t="s">
        <v>67</v>
      </c>
      <c r="E274" t="s">
        <v>68</v>
      </c>
      <c r="F274">
        <v>2</v>
      </c>
      <c r="G274">
        <v>1</v>
      </c>
      <c r="H274">
        <v>5</v>
      </c>
      <c r="I274" s="6">
        <v>420102004</v>
      </c>
      <c r="J274" t="s">
        <v>76</v>
      </c>
      <c r="K274" s="18">
        <f>1377353/1000</f>
        <v>1377.3530000000001</v>
      </c>
    </row>
    <row r="275" spans="1:11" x14ac:dyDescent="0.25">
      <c r="A275" t="s">
        <v>97</v>
      </c>
      <c r="B275" s="16">
        <v>1271538</v>
      </c>
      <c r="C275" t="s">
        <v>66</v>
      </c>
      <c r="D275" t="s">
        <v>67</v>
      </c>
      <c r="E275" t="s">
        <v>68</v>
      </c>
      <c r="F275">
        <v>2</v>
      </c>
      <c r="G275">
        <v>1</v>
      </c>
      <c r="H275">
        <v>5</v>
      </c>
      <c r="I275" s="6">
        <v>420105001</v>
      </c>
      <c r="J275" t="s">
        <v>71</v>
      </c>
      <c r="K275" s="18">
        <f>1780858/1000</f>
        <v>1780.8579999999999</v>
      </c>
    </row>
    <row r="276" spans="1:11" x14ac:dyDescent="0.25">
      <c r="A276" t="s">
        <v>98</v>
      </c>
      <c r="B276" s="16">
        <v>1271538</v>
      </c>
      <c r="C276" t="s">
        <v>66</v>
      </c>
      <c r="D276" t="s">
        <v>67</v>
      </c>
      <c r="E276" t="s">
        <v>68</v>
      </c>
      <c r="F276">
        <v>1</v>
      </c>
      <c r="G276">
        <v>1</v>
      </c>
      <c r="H276">
        <v>4</v>
      </c>
      <c r="I276" s="6">
        <v>420201001</v>
      </c>
      <c r="J276" t="s">
        <v>70</v>
      </c>
      <c r="K276" s="18">
        <f>4378583/1000</f>
        <v>4378.5829999999996</v>
      </c>
    </row>
    <row r="277" spans="1:11" x14ac:dyDescent="0.25">
      <c r="A277" t="s">
        <v>98</v>
      </c>
      <c r="B277" s="16">
        <v>1271538</v>
      </c>
      <c r="C277" t="s">
        <v>66</v>
      </c>
      <c r="D277" t="s">
        <v>67</v>
      </c>
      <c r="E277" t="s">
        <v>68</v>
      </c>
      <c r="F277">
        <v>1</v>
      </c>
      <c r="G277">
        <v>1</v>
      </c>
      <c r="H277">
        <v>4</v>
      </c>
      <c r="I277" s="6">
        <v>420102004</v>
      </c>
      <c r="J277" t="s">
        <v>76</v>
      </c>
      <c r="K277" s="18">
        <f>700000/1000</f>
        <v>700</v>
      </c>
    </row>
    <row r="278" spans="1:11" x14ac:dyDescent="0.25">
      <c r="A278" t="s">
        <v>98</v>
      </c>
      <c r="B278" s="16">
        <v>1271538</v>
      </c>
      <c r="C278" t="s">
        <v>66</v>
      </c>
      <c r="D278" t="s">
        <v>67</v>
      </c>
      <c r="E278" t="s">
        <v>68</v>
      </c>
      <c r="F278">
        <v>1</v>
      </c>
      <c r="G278">
        <v>1</v>
      </c>
      <c r="H278">
        <v>4</v>
      </c>
      <c r="I278" s="6">
        <v>320101001</v>
      </c>
      <c r="J278" t="s">
        <v>72</v>
      </c>
      <c r="K278" s="18">
        <f>987986/1000</f>
        <v>987.98599999999999</v>
      </c>
    </row>
    <row r="279" spans="1:11" x14ac:dyDescent="0.25">
      <c r="A279" t="s">
        <v>98</v>
      </c>
      <c r="B279" s="16">
        <v>1271538</v>
      </c>
      <c r="C279" t="s">
        <v>66</v>
      </c>
      <c r="D279" t="s">
        <v>67</v>
      </c>
      <c r="E279" t="s">
        <v>68</v>
      </c>
      <c r="F279">
        <v>1</v>
      </c>
      <c r="G279">
        <v>1</v>
      </c>
      <c r="H279">
        <v>4</v>
      </c>
      <c r="I279" s="6">
        <v>420105001</v>
      </c>
      <c r="J279" t="s">
        <v>71</v>
      </c>
      <c r="K279" s="18">
        <f>4874008/1000</f>
        <v>4874.0079999999998</v>
      </c>
    </row>
    <row r="280" spans="1:11" x14ac:dyDescent="0.25">
      <c r="A280" t="s">
        <v>98</v>
      </c>
      <c r="B280" s="16">
        <v>1271538</v>
      </c>
      <c r="C280" t="s">
        <v>66</v>
      </c>
      <c r="D280" t="s">
        <v>67</v>
      </c>
      <c r="E280" t="s">
        <v>68</v>
      </c>
      <c r="F280">
        <v>1</v>
      </c>
      <c r="G280">
        <v>1</v>
      </c>
      <c r="H280">
        <v>1</v>
      </c>
      <c r="I280" s="6">
        <v>420105001</v>
      </c>
      <c r="J280" t="s">
        <v>71</v>
      </c>
      <c r="K280" s="18">
        <f>2399633/1000</f>
        <v>2399.6329999999998</v>
      </c>
    </row>
    <row r="281" spans="1:11" x14ac:dyDescent="0.25">
      <c r="A281" t="s">
        <v>98</v>
      </c>
      <c r="B281" s="16">
        <v>1271538</v>
      </c>
      <c r="C281" t="s">
        <v>66</v>
      </c>
      <c r="D281" t="s">
        <v>67</v>
      </c>
      <c r="E281" t="s">
        <v>68</v>
      </c>
      <c r="F281">
        <v>1</v>
      </c>
      <c r="G281">
        <v>1</v>
      </c>
      <c r="H281">
        <v>5</v>
      </c>
      <c r="I281" s="6">
        <v>420201001</v>
      </c>
      <c r="J281" t="s">
        <v>70</v>
      </c>
      <c r="K281" s="18">
        <f>1037248/1000</f>
        <v>1037.248</v>
      </c>
    </row>
    <row r="282" spans="1:11" x14ac:dyDescent="0.25">
      <c r="A282" t="s">
        <v>98</v>
      </c>
      <c r="B282" s="16">
        <v>1271538</v>
      </c>
      <c r="C282" t="s">
        <v>66</v>
      </c>
      <c r="D282" t="s">
        <v>67</v>
      </c>
      <c r="E282" t="s">
        <v>68</v>
      </c>
      <c r="F282">
        <v>1</v>
      </c>
      <c r="G282">
        <v>1</v>
      </c>
      <c r="H282">
        <v>5</v>
      </c>
      <c r="I282" s="6">
        <v>420102004</v>
      </c>
      <c r="J282" t="s">
        <v>76</v>
      </c>
      <c r="K282" s="18">
        <f>205030/1000</f>
        <v>205.03</v>
      </c>
    </row>
    <row r="283" spans="1:11" x14ac:dyDescent="0.25">
      <c r="A283" t="s">
        <v>98</v>
      </c>
      <c r="B283" s="16">
        <v>1271538</v>
      </c>
      <c r="C283" t="s">
        <v>66</v>
      </c>
      <c r="D283" t="s">
        <v>67</v>
      </c>
      <c r="E283" t="s">
        <v>68</v>
      </c>
      <c r="F283">
        <v>1</v>
      </c>
      <c r="G283">
        <v>1</v>
      </c>
      <c r="H283">
        <v>5</v>
      </c>
      <c r="I283" s="6">
        <v>320101001</v>
      </c>
      <c r="J283" t="s">
        <v>72</v>
      </c>
      <c r="K283" s="18">
        <f>1284019/1000</f>
        <v>1284.019</v>
      </c>
    </row>
    <row r="284" spans="1:11" x14ac:dyDescent="0.25">
      <c r="A284" t="s">
        <v>98</v>
      </c>
      <c r="B284" s="16">
        <v>1271538</v>
      </c>
      <c r="C284" t="s">
        <v>66</v>
      </c>
      <c r="D284" t="s">
        <v>67</v>
      </c>
      <c r="E284" t="s">
        <v>68</v>
      </c>
      <c r="F284">
        <v>2</v>
      </c>
      <c r="G284">
        <v>1</v>
      </c>
      <c r="H284">
        <v>1</v>
      </c>
      <c r="I284" s="6">
        <v>420201001</v>
      </c>
      <c r="J284" t="s">
        <v>70</v>
      </c>
      <c r="K284" s="18">
        <f>5092354/1000</f>
        <v>5092.3540000000003</v>
      </c>
    </row>
    <row r="285" spans="1:11" x14ac:dyDescent="0.25">
      <c r="A285" t="s">
        <v>98</v>
      </c>
      <c r="B285" s="16">
        <v>1271538</v>
      </c>
      <c r="C285" t="s">
        <v>66</v>
      </c>
      <c r="D285" t="s">
        <v>67</v>
      </c>
      <c r="E285" t="s">
        <v>68</v>
      </c>
      <c r="F285">
        <v>2</v>
      </c>
      <c r="G285">
        <v>1</v>
      </c>
      <c r="H285">
        <v>5</v>
      </c>
      <c r="I285" s="6">
        <v>420105001</v>
      </c>
      <c r="J285" t="s">
        <v>71</v>
      </c>
      <c r="K285" s="18">
        <f>5671797/1000</f>
        <v>5671.7969999999996</v>
      </c>
    </row>
    <row r="286" spans="1:11" x14ac:dyDescent="0.25">
      <c r="A286" t="s">
        <v>98</v>
      </c>
      <c r="B286" s="16">
        <v>1271538</v>
      </c>
      <c r="C286" t="s">
        <v>66</v>
      </c>
      <c r="D286" t="s">
        <v>67</v>
      </c>
      <c r="E286" t="s">
        <v>68</v>
      </c>
      <c r="F286">
        <v>2</v>
      </c>
      <c r="G286">
        <v>1</v>
      </c>
      <c r="H286">
        <v>5</v>
      </c>
      <c r="I286" s="6">
        <v>420102004</v>
      </c>
      <c r="J286" t="s">
        <v>76</v>
      </c>
      <c r="K286" s="18">
        <f>1163547/1000</f>
        <v>1163.547</v>
      </c>
    </row>
    <row r="287" spans="1:11" x14ac:dyDescent="0.25">
      <c r="A287" t="s">
        <v>98</v>
      </c>
      <c r="B287" s="16">
        <v>1271538</v>
      </c>
      <c r="C287" t="s">
        <v>66</v>
      </c>
      <c r="D287" t="s">
        <v>67</v>
      </c>
      <c r="E287" t="s">
        <v>68</v>
      </c>
      <c r="F287">
        <v>2</v>
      </c>
      <c r="G287">
        <v>1</v>
      </c>
      <c r="H287">
        <v>5</v>
      </c>
      <c r="I287" s="6">
        <v>320101001</v>
      </c>
      <c r="J287" t="s">
        <v>72</v>
      </c>
      <c r="K287" s="18">
        <f>631548/1000</f>
        <v>631.548</v>
      </c>
    </row>
    <row r="288" spans="1:11" x14ac:dyDescent="0.25">
      <c r="A288" t="s">
        <v>99</v>
      </c>
      <c r="B288" s="16">
        <v>1271538</v>
      </c>
      <c r="C288" t="s">
        <v>66</v>
      </c>
      <c r="D288" t="s">
        <v>67</v>
      </c>
      <c r="E288" t="s">
        <v>68</v>
      </c>
      <c r="F288">
        <v>1</v>
      </c>
      <c r="G288">
        <v>1</v>
      </c>
      <c r="H288">
        <v>4</v>
      </c>
      <c r="I288" s="6">
        <v>420201001</v>
      </c>
      <c r="J288" t="s">
        <v>70</v>
      </c>
      <c r="K288" s="19">
        <f>1395786/1000</f>
        <v>1395.7860000000001</v>
      </c>
    </row>
    <row r="289" spans="1:11" x14ac:dyDescent="0.25">
      <c r="A289" t="s">
        <v>99</v>
      </c>
      <c r="B289" s="16">
        <v>1271538</v>
      </c>
      <c r="C289" t="s">
        <v>66</v>
      </c>
      <c r="D289" t="s">
        <v>67</v>
      </c>
      <c r="E289" t="s">
        <v>68</v>
      </c>
      <c r="F289">
        <v>1</v>
      </c>
      <c r="G289">
        <v>1</v>
      </c>
      <c r="H289">
        <v>4</v>
      </c>
      <c r="I289" s="6">
        <v>420102004</v>
      </c>
      <c r="J289" t="s">
        <v>76</v>
      </c>
      <c r="K289" s="19">
        <f>1498797/1000</f>
        <v>1498.797</v>
      </c>
    </row>
    <row r="290" spans="1:11" x14ac:dyDescent="0.25">
      <c r="A290" t="s">
        <v>99</v>
      </c>
      <c r="B290" s="16">
        <v>1271538</v>
      </c>
      <c r="C290" t="s">
        <v>66</v>
      </c>
      <c r="D290" t="s">
        <v>67</v>
      </c>
      <c r="E290" t="s">
        <v>68</v>
      </c>
      <c r="F290">
        <v>1</v>
      </c>
      <c r="G290">
        <v>1</v>
      </c>
      <c r="H290">
        <v>4</v>
      </c>
      <c r="I290" s="6">
        <v>420105001</v>
      </c>
      <c r="J290" t="s">
        <v>71</v>
      </c>
      <c r="K290" s="19">
        <f>4002551/1000</f>
        <v>4002.5509999999999</v>
      </c>
    </row>
    <row r="291" spans="1:11" x14ac:dyDescent="0.25">
      <c r="A291" t="s">
        <v>99</v>
      </c>
      <c r="B291" s="16">
        <v>1271538</v>
      </c>
      <c r="C291" t="s">
        <v>66</v>
      </c>
      <c r="D291" t="s">
        <v>67</v>
      </c>
      <c r="E291" t="s">
        <v>68</v>
      </c>
      <c r="F291">
        <v>1</v>
      </c>
      <c r="G291">
        <v>1</v>
      </c>
      <c r="H291">
        <v>1</v>
      </c>
      <c r="I291" s="6">
        <v>420105001</v>
      </c>
      <c r="J291" t="s">
        <v>71</v>
      </c>
      <c r="K291" s="19">
        <f>1270548/1000</f>
        <v>1270.548</v>
      </c>
    </row>
    <row r="292" spans="1:11" x14ac:dyDescent="0.25">
      <c r="A292" t="s">
        <v>99</v>
      </c>
      <c r="B292" s="16">
        <v>1271538</v>
      </c>
      <c r="C292" t="s">
        <v>66</v>
      </c>
      <c r="D292" t="s">
        <v>67</v>
      </c>
      <c r="E292" t="s">
        <v>68</v>
      </c>
      <c r="F292">
        <v>1</v>
      </c>
      <c r="G292">
        <v>1</v>
      </c>
      <c r="H292">
        <v>5</v>
      </c>
      <c r="I292" s="6">
        <v>420201001</v>
      </c>
      <c r="J292" t="s">
        <v>70</v>
      </c>
      <c r="K292" s="19">
        <f>5018260/1000</f>
        <v>5018.26</v>
      </c>
    </row>
    <row r="293" spans="1:11" x14ac:dyDescent="0.25">
      <c r="A293" t="s">
        <v>99</v>
      </c>
      <c r="B293" s="16">
        <v>1271538</v>
      </c>
      <c r="C293" t="s">
        <v>66</v>
      </c>
      <c r="D293" t="s">
        <v>67</v>
      </c>
      <c r="E293" t="s">
        <v>68</v>
      </c>
      <c r="F293">
        <v>1</v>
      </c>
      <c r="G293">
        <v>1</v>
      </c>
      <c r="H293">
        <v>5</v>
      </c>
      <c r="I293" s="6">
        <v>420102004</v>
      </c>
      <c r="J293" t="s">
        <v>76</v>
      </c>
      <c r="K293" s="19">
        <f>862510/1000</f>
        <v>862.51</v>
      </c>
    </row>
    <row r="294" spans="1:11" x14ac:dyDescent="0.25">
      <c r="A294" t="s">
        <v>99</v>
      </c>
      <c r="B294" s="16">
        <v>1271538</v>
      </c>
      <c r="C294" t="s">
        <v>66</v>
      </c>
      <c r="D294" t="s">
        <v>67</v>
      </c>
      <c r="E294" t="s">
        <v>68</v>
      </c>
      <c r="F294">
        <v>2</v>
      </c>
      <c r="G294">
        <v>1</v>
      </c>
      <c r="H294">
        <v>1</v>
      </c>
      <c r="I294" s="6">
        <v>420201001</v>
      </c>
      <c r="J294" t="s">
        <v>70</v>
      </c>
      <c r="K294" s="19">
        <f>5660397/1000</f>
        <v>5660.3969999999999</v>
      </c>
    </row>
    <row r="295" spans="1:11" x14ac:dyDescent="0.25">
      <c r="A295" t="s">
        <v>99</v>
      </c>
      <c r="B295" s="16">
        <v>1271538</v>
      </c>
      <c r="C295" t="s">
        <v>66</v>
      </c>
      <c r="D295" t="s">
        <v>67</v>
      </c>
      <c r="E295" t="s">
        <v>68</v>
      </c>
      <c r="F295">
        <v>2</v>
      </c>
      <c r="G295">
        <v>1</v>
      </c>
      <c r="H295">
        <v>5</v>
      </c>
      <c r="I295" s="6">
        <v>420105001</v>
      </c>
      <c r="J295" t="s">
        <v>71</v>
      </c>
      <c r="K295" s="19">
        <f>2076681/1000</f>
        <v>2076.681</v>
      </c>
    </row>
    <row r="296" spans="1:11" x14ac:dyDescent="0.25">
      <c r="A296" t="s">
        <v>99</v>
      </c>
      <c r="B296" s="16">
        <v>1271538</v>
      </c>
      <c r="C296" t="s">
        <v>66</v>
      </c>
      <c r="D296" t="s">
        <v>67</v>
      </c>
      <c r="E296" t="s">
        <v>68</v>
      </c>
      <c r="F296">
        <v>2</v>
      </c>
      <c r="G296">
        <v>1</v>
      </c>
      <c r="H296">
        <v>5</v>
      </c>
      <c r="I296" s="6">
        <v>420102004</v>
      </c>
      <c r="J296" t="s">
        <v>76</v>
      </c>
      <c r="K296" s="19">
        <f>2464071/1000</f>
        <v>2464.0709999999999</v>
      </c>
    </row>
    <row r="297" spans="1:11" x14ac:dyDescent="0.25">
      <c r="A297" t="s">
        <v>99</v>
      </c>
      <c r="B297" s="16">
        <v>1271538</v>
      </c>
      <c r="C297" t="s">
        <v>66</v>
      </c>
      <c r="D297" t="s">
        <v>67</v>
      </c>
      <c r="E297" t="s">
        <v>68</v>
      </c>
      <c r="F297">
        <v>2</v>
      </c>
      <c r="G297">
        <v>1</v>
      </c>
      <c r="H297">
        <v>5</v>
      </c>
      <c r="I297" s="6">
        <v>320101001</v>
      </c>
      <c r="J297" t="s">
        <v>72</v>
      </c>
      <c r="K297" s="19">
        <f>5564187/1000</f>
        <v>5564.1869999999999</v>
      </c>
    </row>
    <row r="298" spans="1:11" x14ac:dyDescent="0.25">
      <c r="A298" t="s">
        <v>100</v>
      </c>
      <c r="B298" s="16">
        <v>1271538</v>
      </c>
      <c r="C298" t="s">
        <v>66</v>
      </c>
      <c r="D298" t="s">
        <v>67</v>
      </c>
      <c r="E298" t="s">
        <v>68</v>
      </c>
      <c r="F298">
        <v>1</v>
      </c>
      <c r="G298">
        <v>1</v>
      </c>
      <c r="H298">
        <v>4</v>
      </c>
      <c r="I298" s="6">
        <v>420201001</v>
      </c>
      <c r="J298" t="s">
        <v>70</v>
      </c>
      <c r="K298" s="18">
        <f>3607500/1000</f>
        <v>3607.5</v>
      </c>
    </row>
    <row r="299" spans="1:11" x14ac:dyDescent="0.25">
      <c r="A299" t="s">
        <v>100</v>
      </c>
      <c r="B299" s="16">
        <v>1271538</v>
      </c>
      <c r="C299" t="s">
        <v>66</v>
      </c>
      <c r="D299" t="s">
        <v>67</v>
      </c>
      <c r="E299" t="s">
        <v>68</v>
      </c>
      <c r="F299">
        <v>1</v>
      </c>
      <c r="G299">
        <v>1</v>
      </c>
      <c r="H299">
        <v>4</v>
      </c>
      <c r="I299" s="6">
        <v>420102004</v>
      </c>
      <c r="J299" t="s">
        <v>76</v>
      </c>
      <c r="K299" s="18">
        <f>3095738/1000</f>
        <v>3095.7379999999998</v>
      </c>
    </row>
    <row r="300" spans="1:11" x14ac:dyDescent="0.25">
      <c r="A300" t="s">
        <v>100</v>
      </c>
      <c r="B300" s="16">
        <v>1271538</v>
      </c>
      <c r="C300" t="s">
        <v>66</v>
      </c>
      <c r="D300" t="s">
        <v>67</v>
      </c>
      <c r="E300" t="s">
        <v>68</v>
      </c>
      <c r="F300">
        <v>1</v>
      </c>
      <c r="G300">
        <v>1</v>
      </c>
      <c r="H300">
        <v>4</v>
      </c>
      <c r="I300" s="6">
        <v>420105001</v>
      </c>
      <c r="J300" t="s">
        <v>71</v>
      </c>
      <c r="K300" s="18">
        <f>6381635/1000</f>
        <v>6381.6350000000002</v>
      </c>
    </row>
    <row r="301" spans="1:11" x14ac:dyDescent="0.25">
      <c r="A301" t="s">
        <v>100</v>
      </c>
      <c r="B301" s="16">
        <v>1271538</v>
      </c>
      <c r="C301" t="s">
        <v>66</v>
      </c>
      <c r="D301" t="s">
        <v>67</v>
      </c>
      <c r="E301" t="s">
        <v>68</v>
      </c>
      <c r="F301">
        <v>1</v>
      </c>
      <c r="G301">
        <v>1</v>
      </c>
      <c r="H301">
        <v>1</v>
      </c>
      <c r="I301" s="6">
        <v>420102004</v>
      </c>
      <c r="J301" t="s">
        <v>76</v>
      </c>
      <c r="K301" s="18">
        <f>15575/1000</f>
        <v>15.574999999999999</v>
      </c>
    </row>
    <row r="302" spans="1:11" x14ac:dyDescent="0.25">
      <c r="A302" t="s">
        <v>100</v>
      </c>
      <c r="B302" s="16">
        <v>1271538</v>
      </c>
      <c r="C302" t="s">
        <v>66</v>
      </c>
      <c r="D302" t="s">
        <v>67</v>
      </c>
      <c r="E302" t="s">
        <v>68</v>
      </c>
      <c r="F302">
        <v>1</v>
      </c>
      <c r="G302">
        <v>1</v>
      </c>
      <c r="H302">
        <v>1</v>
      </c>
      <c r="I302" s="6">
        <v>420105001</v>
      </c>
      <c r="J302" t="s">
        <v>71</v>
      </c>
      <c r="K302" s="18">
        <f>982616/1000</f>
        <v>982.61599999999999</v>
      </c>
    </row>
    <row r="303" spans="1:11" x14ac:dyDescent="0.25">
      <c r="A303" t="s">
        <v>100</v>
      </c>
      <c r="B303" s="16">
        <v>1271538</v>
      </c>
      <c r="C303" t="s">
        <v>66</v>
      </c>
      <c r="D303" t="s">
        <v>67</v>
      </c>
      <c r="E303" t="s">
        <v>68</v>
      </c>
      <c r="F303">
        <v>1</v>
      </c>
      <c r="G303">
        <v>1</v>
      </c>
      <c r="H303">
        <v>5</v>
      </c>
      <c r="I303" s="6">
        <v>420201001</v>
      </c>
      <c r="J303" t="s">
        <v>70</v>
      </c>
      <c r="K303" s="18">
        <f>2280741/1000</f>
        <v>2280.741</v>
      </c>
    </row>
    <row r="304" spans="1:11" x14ac:dyDescent="0.25">
      <c r="A304" t="s">
        <v>100</v>
      </c>
      <c r="B304" s="16">
        <v>1271538</v>
      </c>
      <c r="C304" t="s">
        <v>66</v>
      </c>
      <c r="D304" t="s">
        <v>67</v>
      </c>
      <c r="E304" t="s">
        <v>68</v>
      </c>
      <c r="F304">
        <v>2</v>
      </c>
      <c r="G304">
        <v>1</v>
      </c>
      <c r="H304">
        <v>1</v>
      </c>
      <c r="I304" s="6">
        <v>420201001</v>
      </c>
      <c r="J304" t="s">
        <v>70</v>
      </c>
      <c r="K304" s="18">
        <f>6634240/1000</f>
        <v>6634.24</v>
      </c>
    </row>
    <row r="305" spans="1:11" x14ac:dyDescent="0.25">
      <c r="A305" t="s">
        <v>100</v>
      </c>
      <c r="B305" s="16">
        <v>1271538</v>
      </c>
      <c r="C305" t="s">
        <v>66</v>
      </c>
      <c r="D305" t="s">
        <v>67</v>
      </c>
      <c r="E305" t="s">
        <v>68</v>
      </c>
      <c r="F305">
        <v>2</v>
      </c>
      <c r="G305">
        <v>1</v>
      </c>
      <c r="H305">
        <v>5</v>
      </c>
      <c r="I305" s="6">
        <v>420105001</v>
      </c>
      <c r="J305" t="s">
        <v>71</v>
      </c>
      <c r="K305" s="18">
        <f>3129499/1000</f>
        <v>3129.4989999999998</v>
      </c>
    </row>
    <row r="306" spans="1:11" x14ac:dyDescent="0.25">
      <c r="A306" t="s">
        <v>100</v>
      </c>
      <c r="B306" s="16">
        <v>1271538</v>
      </c>
      <c r="C306" t="s">
        <v>66</v>
      </c>
      <c r="D306" t="s">
        <v>67</v>
      </c>
      <c r="E306" t="s">
        <v>68</v>
      </c>
      <c r="F306">
        <v>2</v>
      </c>
      <c r="G306">
        <v>1</v>
      </c>
      <c r="H306">
        <v>5</v>
      </c>
      <c r="I306" s="6">
        <v>420102004</v>
      </c>
      <c r="J306" t="s">
        <v>76</v>
      </c>
      <c r="K306" s="18">
        <f>51049/1000</f>
        <v>51.048999999999999</v>
      </c>
    </row>
    <row r="307" spans="1:11" x14ac:dyDescent="0.25">
      <c r="A307" t="s">
        <v>100</v>
      </c>
      <c r="B307" s="16">
        <v>1271538</v>
      </c>
      <c r="C307" t="s">
        <v>66</v>
      </c>
      <c r="D307" t="s">
        <v>67</v>
      </c>
      <c r="E307" t="s">
        <v>68</v>
      </c>
      <c r="F307">
        <v>2</v>
      </c>
      <c r="G307">
        <v>1</v>
      </c>
      <c r="H307">
        <v>5</v>
      </c>
      <c r="I307" s="6">
        <v>320101001</v>
      </c>
      <c r="J307" t="s">
        <v>72</v>
      </c>
      <c r="K307" s="18">
        <f>7877763/1000</f>
        <v>7877.7629999999999</v>
      </c>
    </row>
    <row r="308" spans="1:11" x14ac:dyDescent="0.25">
      <c r="A308" t="s">
        <v>101</v>
      </c>
      <c r="B308" s="16">
        <v>1271538</v>
      </c>
      <c r="C308" t="s">
        <v>66</v>
      </c>
      <c r="D308" t="s">
        <v>67</v>
      </c>
      <c r="E308" t="s">
        <v>68</v>
      </c>
      <c r="F308">
        <v>1</v>
      </c>
      <c r="G308">
        <v>1</v>
      </c>
      <c r="H308">
        <v>4</v>
      </c>
      <c r="I308" s="6">
        <v>420201001</v>
      </c>
      <c r="J308" t="s">
        <v>70</v>
      </c>
      <c r="K308" s="18">
        <f>2204045/1000</f>
        <v>2204.0450000000001</v>
      </c>
    </row>
    <row r="309" spans="1:11" x14ac:dyDescent="0.25">
      <c r="A309" t="s">
        <v>101</v>
      </c>
      <c r="B309" s="16">
        <v>1271538</v>
      </c>
      <c r="C309" t="s">
        <v>66</v>
      </c>
      <c r="D309" t="s">
        <v>67</v>
      </c>
      <c r="E309" t="s">
        <v>68</v>
      </c>
      <c r="F309">
        <v>1</v>
      </c>
      <c r="G309">
        <v>1</v>
      </c>
      <c r="H309">
        <v>4</v>
      </c>
      <c r="I309" s="6">
        <v>420102004</v>
      </c>
      <c r="J309" t="s">
        <v>76</v>
      </c>
      <c r="K309" s="18">
        <f>109707/1000</f>
        <v>109.70699999999999</v>
      </c>
    </row>
    <row r="310" spans="1:11" x14ac:dyDescent="0.25">
      <c r="A310" t="s">
        <v>101</v>
      </c>
      <c r="B310" s="16">
        <v>1271538</v>
      </c>
      <c r="C310" t="s">
        <v>66</v>
      </c>
      <c r="D310" t="s">
        <v>67</v>
      </c>
      <c r="E310" t="s">
        <v>68</v>
      </c>
      <c r="F310">
        <v>1</v>
      </c>
      <c r="G310">
        <v>1</v>
      </c>
      <c r="H310">
        <v>4</v>
      </c>
      <c r="I310" s="6">
        <v>420105001</v>
      </c>
      <c r="J310" t="s">
        <v>71</v>
      </c>
      <c r="K310" s="18">
        <f>1799244/1000</f>
        <v>1799.2439999999999</v>
      </c>
    </row>
    <row r="311" spans="1:11" x14ac:dyDescent="0.25">
      <c r="A311" t="s">
        <v>101</v>
      </c>
      <c r="B311" s="16">
        <v>1271538</v>
      </c>
      <c r="C311" t="s">
        <v>66</v>
      </c>
      <c r="D311" t="s">
        <v>67</v>
      </c>
      <c r="E311" t="s">
        <v>68</v>
      </c>
      <c r="F311">
        <v>1</v>
      </c>
      <c r="G311">
        <v>1</v>
      </c>
      <c r="H311">
        <v>1</v>
      </c>
      <c r="I311" s="6">
        <v>420105001</v>
      </c>
      <c r="J311" t="s">
        <v>71</v>
      </c>
      <c r="K311" s="18">
        <f>413567/1000</f>
        <v>413.56700000000001</v>
      </c>
    </row>
    <row r="312" spans="1:11" x14ac:dyDescent="0.25">
      <c r="A312" t="s">
        <v>101</v>
      </c>
      <c r="B312" s="16">
        <v>1271538</v>
      </c>
      <c r="C312" t="s">
        <v>66</v>
      </c>
      <c r="D312" t="s">
        <v>67</v>
      </c>
      <c r="E312" t="s">
        <v>68</v>
      </c>
      <c r="F312">
        <v>1</v>
      </c>
      <c r="G312">
        <v>1</v>
      </c>
      <c r="H312">
        <v>5</v>
      </c>
      <c r="I312" s="6">
        <v>420201001</v>
      </c>
      <c r="J312" t="s">
        <v>70</v>
      </c>
      <c r="K312" s="18">
        <f>4138051/1000</f>
        <v>4138.0510000000004</v>
      </c>
    </row>
    <row r="313" spans="1:11" x14ac:dyDescent="0.25">
      <c r="A313" t="s">
        <v>101</v>
      </c>
      <c r="B313" s="16">
        <v>1271538</v>
      </c>
      <c r="C313" t="s">
        <v>66</v>
      </c>
      <c r="D313" t="s">
        <v>67</v>
      </c>
      <c r="E313" t="s">
        <v>68</v>
      </c>
      <c r="F313">
        <v>1</v>
      </c>
      <c r="G313">
        <v>1</v>
      </c>
      <c r="H313">
        <v>5</v>
      </c>
      <c r="I313" s="6">
        <v>420102004</v>
      </c>
      <c r="J313" t="s">
        <v>76</v>
      </c>
      <c r="K313" s="18">
        <f>1645314/1000</f>
        <v>1645.3140000000001</v>
      </c>
    </row>
    <row r="314" spans="1:11" x14ac:dyDescent="0.25">
      <c r="A314" t="s">
        <v>101</v>
      </c>
      <c r="B314" s="16">
        <v>1271538</v>
      </c>
      <c r="C314" t="s">
        <v>66</v>
      </c>
      <c r="D314" t="s">
        <v>67</v>
      </c>
      <c r="E314" t="s">
        <v>68</v>
      </c>
      <c r="F314">
        <v>1</v>
      </c>
      <c r="G314">
        <v>1</v>
      </c>
      <c r="H314">
        <v>5</v>
      </c>
      <c r="I314" s="6">
        <v>420105001</v>
      </c>
      <c r="J314" t="s">
        <v>71</v>
      </c>
      <c r="K314" s="18">
        <f>2214408/1000</f>
        <v>2214.4079999999999</v>
      </c>
    </row>
    <row r="315" spans="1:11" x14ac:dyDescent="0.25">
      <c r="A315" t="s">
        <v>101</v>
      </c>
      <c r="B315" s="16">
        <v>1271538</v>
      </c>
      <c r="C315" t="s">
        <v>66</v>
      </c>
      <c r="D315" t="s">
        <v>67</v>
      </c>
      <c r="E315" t="s">
        <v>68</v>
      </c>
      <c r="F315">
        <v>2</v>
      </c>
      <c r="G315">
        <v>1</v>
      </c>
      <c r="H315">
        <v>1</v>
      </c>
      <c r="I315" s="6">
        <v>420201001</v>
      </c>
      <c r="J315" t="s">
        <v>70</v>
      </c>
      <c r="K315" s="18">
        <f>5791165/1000</f>
        <v>5791.165</v>
      </c>
    </row>
    <row r="316" spans="1:11" x14ac:dyDescent="0.25">
      <c r="A316" t="s">
        <v>101</v>
      </c>
      <c r="B316" s="16">
        <v>1271538</v>
      </c>
      <c r="C316" t="s">
        <v>66</v>
      </c>
      <c r="D316" t="s">
        <v>67</v>
      </c>
      <c r="E316" t="s">
        <v>68</v>
      </c>
      <c r="F316">
        <v>2</v>
      </c>
      <c r="G316">
        <v>1</v>
      </c>
      <c r="H316">
        <v>1</v>
      </c>
      <c r="I316" s="6">
        <v>420105001</v>
      </c>
      <c r="J316" t="s">
        <v>71</v>
      </c>
      <c r="K316" s="18">
        <f>1037495/1000</f>
        <v>1037.4949999999999</v>
      </c>
    </row>
    <row r="317" spans="1:11" x14ac:dyDescent="0.25">
      <c r="A317" t="s">
        <v>101</v>
      </c>
      <c r="B317" s="16">
        <v>1271538</v>
      </c>
      <c r="C317" t="s">
        <v>66</v>
      </c>
      <c r="D317" t="s">
        <v>67</v>
      </c>
      <c r="E317" t="s">
        <v>68</v>
      </c>
      <c r="F317">
        <v>2</v>
      </c>
      <c r="G317">
        <v>1</v>
      </c>
      <c r="H317">
        <v>5</v>
      </c>
      <c r="I317" s="6">
        <v>420102004</v>
      </c>
      <c r="J317" t="s">
        <v>76</v>
      </c>
      <c r="K317" s="18">
        <f>2684627/1000</f>
        <v>2684.627</v>
      </c>
    </row>
    <row r="318" spans="1:11" x14ac:dyDescent="0.25">
      <c r="A318" t="s">
        <v>101</v>
      </c>
      <c r="B318" s="16">
        <v>1271538</v>
      </c>
      <c r="C318" t="s">
        <v>66</v>
      </c>
      <c r="D318" t="s">
        <v>67</v>
      </c>
      <c r="E318" t="s">
        <v>68</v>
      </c>
      <c r="F318">
        <v>2</v>
      </c>
      <c r="G318">
        <v>1</v>
      </c>
      <c r="H318">
        <v>5</v>
      </c>
      <c r="I318" s="6">
        <v>420105001</v>
      </c>
      <c r="J318" t="s">
        <v>71</v>
      </c>
      <c r="K318" s="18">
        <f>3667194/1000</f>
        <v>3667.194</v>
      </c>
    </row>
    <row r="319" spans="1:11" x14ac:dyDescent="0.25">
      <c r="A319" t="s">
        <v>102</v>
      </c>
      <c r="B319" s="16">
        <v>1271538</v>
      </c>
      <c r="C319" t="s">
        <v>66</v>
      </c>
      <c r="D319" t="s">
        <v>67</v>
      </c>
      <c r="E319" t="s">
        <v>68</v>
      </c>
      <c r="F319">
        <v>1</v>
      </c>
      <c r="G319">
        <v>1</v>
      </c>
      <c r="H319">
        <v>4</v>
      </c>
      <c r="I319" s="6">
        <v>420201001</v>
      </c>
      <c r="J319" t="s">
        <v>70</v>
      </c>
      <c r="K319" s="18">
        <f>2411109/1000</f>
        <v>2411.1089999999999</v>
      </c>
    </row>
    <row r="320" spans="1:11" x14ac:dyDescent="0.25">
      <c r="A320" t="s">
        <v>102</v>
      </c>
      <c r="B320" s="16">
        <v>1271538</v>
      </c>
      <c r="C320" t="s">
        <v>66</v>
      </c>
      <c r="D320" t="s">
        <v>67</v>
      </c>
      <c r="E320" t="s">
        <v>68</v>
      </c>
      <c r="F320">
        <v>1</v>
      </c>
      <c r="G320">
        <v>1</v>
      </c>
      <c r="H320">
        <v>4</v>
      </c>
      <c r="I320" s="6">
        <v>420102004</v>
      </c>
      <c r="J320" t="s">
        <v>76</v>
      </c>
      <c r="K320" s="18">
        <f>2404038/1000</f>
        <v>2404.038</v>
      </c>
    </row>
    <row r="321" spans="1:11" x14ac:dyDescent="0.25">
      <c r="A321" t="s">
        <v>102</v>
      </c>
      <c r="B321" s="16">
        <v>1271538</v>
      </c>
      <c r="C321" t="s">
        <v>66</v>
      </c>
      <c r="D321" t="s">
        <v>67</v>
      </c>
      <c r="E321" t="s">
        <v>68</v>
      </c>
      <c r="F321">
        <v>1</v>
      </c>
      <c r="G321">
        <v>1</v>
      </c>
      <c r="H321">
        <v>4</v>
      </c>
      <c r="I321" s="6">
        <v>420105001</v>
      </c>
      <c r="J321" t="s">
        <v>71</v>
      </c>
      <c r="K321" s="18">
        <f>3161708/1000</f>
        <v>3161.7080000000001</v>
      </c>
    </row>
    <row r="322" spans="1:11" x14ac:dyDescent="0.25">
      <c r="A322" t="s">
        <v>102</v>
      </c>
      <c r="B322" s="16">
        <v>1271538</v>
      </c>
      <c r="C322" t="s">
        <v>66</v>
      </c>
      <c r="D322" t="s">
        <v>67</v>
      </c>
      <c r="E322" t="s">
        <v>68</v>
      </c>
      <c r="F322">
        <v>1</v>
      </c>
      <c r="G322">
        <v>1</v>
      </c>
      <c r="H322">
        <v>1</v>
      </c>
      <c r="I322" s="6">
        <v>420105001</v>
      </c>
      <c r="J322" t="s">
        <v>71</v>
      </c>
      <c r="K322" s="18">
        <f>1062253/1000</f>
        <v>1062.2529999999999</v>
      </c>
    </row>
    <row r="323" spans="1:11" x14ac:dyDescent="0.25">
      <c r="A323" t="s">
        <v>102</v>
      </c>
      <c r="B323" s="16">
        <v>1271538</v>
      </c>
      <c r="C323" t="s">
        <v>66</v>
      </c>
      <c r="D323" t="s">
        <v>67</v>
      </c>
      <c r="E323" t="s">
        <v>68</v>
      </c>
      <c r="F323">
        <v>1</v>
      </c>
      <c r="G323">
        <v>1</v>
      </c>
      <c r="H323">
        <v>5</v>
      </c>
      <c r="I323" s="6">
        <v>420201001</v>
      </c>
      <c r="J323" t="s">
        <v>70</v>
      </c>
      <c r="K323" s="18">
        <f>2214105/1000</f>
        <v>2214.105</v>
      </c>
    </row>
    <row r="324" spans="1:11" x14ac:dyDescent="0.25">
      <c r="A324" t="s">
        <v>102</v>
      </c>
      <c r="B324" s="16">
        <v>1271538</v>
      </c>
      <c r="C324" t="s">
        <v>66</v>
      </c>
      <c r="D324" t="s">
        <v>67</v>
      </c>
      <c r="E324" t="s">
        <v>68</v>
      </c>
      <c r="F324">
        <v>1</v>
      </c>
      <c r="G324">
        <v>1</v>
      </c>
      <c r="H324">
        <v>5</v>
      </c>
      <c r="I324" s="6">
        <v>420102004</v>
      </c>
      <c r="J324" t="s">
        <v>76</v>
      </c>
      <c r="K324" s="18">
        <f>343849/1000</f>
        <v>343.84899999999999</v>
      </c>
    </row>
    <row r="325" spans="1:11" x14ac:dyDescent="0.25">
      <c r="A325" t="s">
        <v>102</v>
      </c>
      <c r="B325" s="16">
        <v>1271538</v>
      </c>
      <c r="C325" t="s">
        <v>66</v>
      </c>
      <c r="D325" t="s">
        <v>67</v>
      </c>
      <c r="E325" t="s">
        <v>68</v>
      </c>
      <c r="F325">
        <v>1</v>
      </c>
      <c r="G325">
        <v>1</v>
      </c>
      <c r="H325">
        <v>5</v>
      </c>
      <c r="I325" s="6">
        <v>420105001</v>
      </c>
      <c r="J325" t="s">
        <v>71</v>
      </c>
      <c r="K325" s="18">
        <f>1045266/1000</f>
        <v>1045.2660000000001</v>
      </c>
    </row>
    <row r="326" spans="1:11" x14ac:dyDescent="0.25">
      <c r="A326" t="s">
        <v>102</v>
      </c>
      <c r="B326" s="16">
        <v>1271538</v>
      </c>
      <c r="C326" t="s">
        <v>66</v>
      </c>
      <c r="D326" t="s">
        <v>67</v>
      </c>
      <c r="E326" t="s">
        <v>68</v>
      </c>
      <c r="F326">
        <v>2</v>
      </c>
      <c r="G326">
        <v>1</v>
      </c>
      <c r="H326">
        <v>1</v>
      </c>
      <c r="I326" s="6">
        <v>420201001</v>
      </c>
      <c r="J326" t="s">
        <v>70</v>
      </c>
      <c r="K326" s="18">
        <f>5413998/1000</f>
        <v>5413.9979999999996</v>
      </c>
    </row>
    <row r="327" spans="1:11" x14ac:dyDescent="0.25">
      <c r="A327" t="s">
        <v>102</v>
      </c>
      <c r="B327" s="16">
        <v>1271538</v>
      </c>
      <c r="C327" t="s">
        <v>66</v>
      </c>
      <c r="D327" t="s">
        <v>67</v>
      </c>
      <c r="E327" t="s">
        <v>68</v>
      </c>
      <c r="F327">
        <v>2</v>
      </c>
      <c r="G327">
        <v>1</v>
      </c>
      <c r="H327">
        <v>5</v>
      </c>
      <c r="I327" s="6">
        <v>420102004</v>
      </c>
      <c r="J327" t="s">
        <v>76</v>
      </c>
      <c r="K327" s="18">
        <f>862237/1000</f>
        <v>862.23699999999997</v>
      </c>
    </row>
    <row r="328" spans="1:11" x14ac:dyDescent="0.25">
      <c r="A328" t="s">
        <v>102</v>
      </c>
      <c r="B328" s="16">
        <v>1271538</v>
      </c>
      <c r="C328" t="s">
        <v>66</v>
      </c>
      <c r="D328" t="s">
        <v>67</v>
      </c>
      <c r="E328" t="s">
        <v>68</v>
      </c>
      <c r="F328">
        <v>2</v>
      </c>
      <c r="G328">
        <v>1</v>
      </c>
      <c r="H328">
        <v>5</v>
      </c>
      <c r="I328" s="6">
        <v>420105001</v>
      </c>
      <c r="J328" t="s">
        <v>71</v>
      </c>
      <c r="K328" s="18">
        <f>4909537/1000</f>
        <v>4909.5370000000003</v>
      </c>
    </row>
    <row r="329" spans="1:11" x14ac:dyDescent="0.25">
      <c r="A329" t="s">
        <v>103</v>
      </c>
      <c r="B329" s="16">
        <v>1271538</v>
      </c>
      <c r="C329" t="s">
        <v>66</v>
      </c>
      <c r="D329" t="s">
        <v>67</v>
      </c>
      <c r="E329" t="s">
        <v>68</v>
      </c>
      <c r="F329">
        <v>1</v>
      </c>
      <c r="G329">
        <v>1</v>
      </c>
      <c r="H329">
        <v>4</v>
      </c>
      <c r="I329" s="6">
        <v>420201001</v>
      </c>
      <c r="J329" t="s">
        <v>70</v>
      </c>
      <c r="K329">
        <f>3807866/1000</f>
        <v>3807.866</v>
      </c>
    </row>
    <row r="330" spans="1:11" x14ac:dyDescent="0.25">
      <c r="A330" t="s">
        <v>103</v>
      </c>
      <c r="B330" s="16">
        <v>1271538</v>
      </c>
      <c r="C330" t="s">
        <v>66</v>
      </c>
      <c r="D330" t="s">
        <v>67</v>
      </c>
      <c r="E330" t="s">
        <v>68</v>
      </c>
      <c r="F330">
        <v>1</v>
      </c>
      <c r="G330">
        <v>1</v>
      </c>
      <c r="H330">
        <v>4</v>
      </c>
      <c r="I330" s="6">
        <v>420102004</v>
      </c>
      <c r="J330" t="s">
        <v>76</v>
      </c>
      <c r="K330">
        <f>1876849/1000</f>
        <v>1876.8489999999999</v>
      </c>
    </row>
    <row r="331" spans="1:11" x14ac:dyDescent="0.25">
      <c r="A331" t="s">
        <v>103</v>
      </c>
      <c r="B331" s="16">
        <v>1271538</v>
      </c>
      <c r="C331" t="s">
        <v>66</v>
      </c>
      <c r="D331" t="s">
        <v>67</v>
      </c>
      <c r="E331" t="s">
        <v>68</v>
      </c>
      <c r="F331">
        <v>1</v>
      </c>
      <c r="G331">
        <v>1</v>
      </c>
      <c r="H331">
        <v>4</v>
      </c>
      <c r="I331" s="6">
        <v>420105001</v>
      </c>
      <c r="J331" t="s">
        <v>71</v>
      </c>
      <c r="K331">
        <f>5377146/1000</f>
        <v>5377.1459999999997</v>
      </c>
    </row>
    <row r="332" spans="1:11" x14ac:dyDescent="0.25">
      <c r="A332" t="s">
        <v>103</v>
      </c>
      <c r="B332" s="16">
        <v>1271538</v>
      </c>
      <c r="C332" t="s">
        <v>66</v>
      </c>
      <c r="D332" t="s">
        <v>67</v>
      </c>
      <c r="E332" t="s">
        <v>68</v>
      </c>
      <c r="F332">
        <v>1</v>
      </c>
      <c r="G332">
        <v>1</v>
      </c>
      <c r="H332">
        <v>1</v>
      </c>
      <c r="I332" s="6">
        <v>420102004</v>
      </c>
      <c r="J332" t="s">
        <v>76</v>
      </c>
      <c r="K332">
        <f>19821/1000</f>
        <v>19.821000000000002</v>
      </c>
    </row>
    <row r="333" spans="1:11" x14ac:dyDescent="0.25">
      <c r="A333" t="s">
        <v>103</v>
      </c>
      <c r="B333" s="16">
        <v>1271538</v>
      </c>
      <c r="C333" t="s">
        <v>66</v>
      </c>
      <c r="D333" t="s">
        <v>67</v>
      </c>
      <c r="E333" t="s">
        <v>68</v>
      </c>
      <c r="F333">
        <v>1</v>
      </c>
      <c r="G333">
        <v>1</v>
      </c>
      <c r="H333">
        <v>1</v>
      </c>
      <c r="I333" s="6">
        <v>420105001</v>
      </c>
      <c r="J333" t="s">
        <v>71</v>
      </c>
      <c r="K333">
        <f>1065849/1000</f>
        <v>1065.8489999999999</v>
      </c>
    </row>
    <row r="334" spans="1:11" x14ac:dyDescent="0.25">
      <c r="A334" t="s">
        <v>103</v>
      </c>
      <c r="B334" s="16">
        <v>1271538</v>
      </c>
      <c r="C334" t="s">
        <v>66</v>
      </c>
      <c r="D334" t="s">
        <v>67</v>
      </c>
      <c r="E334" t="s">
        <v>68</v>
      </c>
      <c r="F334">
        <v>1</v>
      </c>
      <c r="G334">
        <v>1</v>
      </c>
      <c r="H334">
        <v>5</v>
      </c>
      <c r="I334" s="6">
        <v>420201001</v>
      </c>
      <c r="J334" t="s">
        <v>70</v>
      </c>
      <c r="K334">
        <f>1497223/1000</f>
        <v>1497.223</v>
      </c>
    </row>
    <row r="335" spans="1:11" x14ac:dyDescent="0.25">
      <c r="A335" t="s">
        <v>103</v>
      </c>
      <c r="B335" s="16">
        <v>1271538</v>
      </c>
      <c r="C335" t="s">
        <v>66</v>
      </c>
      <c r="D335" t="s">
        <v>67</v>
      </c>
      <c r="E335" t="s">
        <v>68</v>
      </c>
      <c r="F335">
        <v>1</v>
      </c>
      <c r="G335">
        <v>1</v>
      </c>
      <c r="H335">
        <v>5</v>
      </c>
      <c r="I335" s="6">
        <v>420102004</v>
      </c>
      <c r="J335" t="s">
        <v>76</v>
      </c>
      <c r="K335">
        <f>676437/1000</f>
        <v>676.43700000000001</v>
      </c>
    </row>
    <row r="336" spans="1:11" x14ac:dyDescent="0.25">
      <c r="A336" t="s">
        <v>103</v>
      </c>
      <c r="B336" s="16">
        <v>1271538</v>
      </c>
      <c r="C336" t="s">
        <v>66</v>
      </c>
      <c r="D336" t="s">
        <v>67</v>
      </c>
      <c r="E336" t="s">
        <v>68</v>
      </c>
      <c r="F336">
        <v>1</v>
      </c>
      <c r="G336">
        <v>1</v>
      </c>
      <c r="H336">
        <v>5</v>
      </c>
      <c r="I336" s="6">
        <v>420105001</v>
      </c>
      <c r="J336" t="s">
        <v>71</v>
      </c>
      <c r="K336">
        <f>1514832/1000</f>
        <v>1514.8320000000001</v>
      </c>
    </row>
    <row r="337" spans="1:11" x14ac:dyDescent="0.25">
      <c r="A337" t="s">
        <v>103</v>
      </c>
      <c r="B337" s="16">
        <v>1271538</v>
      </c>
      <c r="C337" t="s">
        <v>66</v>
      </c>
      <c r="D337" t="s">
        <v>67</v>
      </c>
      <c r="E337" t="s">
        <v>68</v>
      </c>
      <c r="F337">
        <v>2</v>
      </c>
      <c r="G337">
        <v>1</v>
      </c>
      <c r="H337">
        <v>4</v>
      </c>
      <c r="I337" s="6">
        <v>420105001</v>
      </c>
      <c r="J337" t="s">
        <v>71</v>
      </c>
      <c r="K337">
        <f>5881/1000</f>
        <v>5.8810000000000002</v>
      </c>
    </row>
    <row r="338" spans="1:11" x14ac:dyDescent="0.25">
      <c r="A338" t="s">
        <v>103</v>
      </c>
      <c r="B338" s="16">
        <v>1271538</v>
      </c>
      <c r="C338" t="s">
        <v>66</v>
      </c>
      <c r="D338" t="s">
        <v>67</v>
      </c>
      <c r="E338" t="s">
        <v>68</v>
      </c>
      <c r="F338">
        <v>2</v>
      </c>
      <c r="G338">
        <v>1</v>
      </c>
      <c r="H338">
        <v>2</v>
      </c>
      <c r="I338" s="6">
        <v>420201001</v>
      </c>
      <c r="J338" t="s">
        <v>70</v>
      </c>
      <c r="K338">
        <f>5029103/1000</f>
        <v>5029.1030000000001</v>
      </c>
    </row>
    <row r="339" spans="1:11" x14ac:dyDescent="0.25">
      <c r="A339" t="s">
        <v>103</v>
      </c>
      <c r="B339" s="16">
        <v>1271538</v>
      </c>
      <c r="C339" t="s">
        <v>66</v>
      </c>
      <c r="D339" t="s">
        <v>67</v>
      </c>
      <c r="E339" t="s">
        <v>68</v>
      </c>
      <c r="F339">
        <v>2</v>
      </c>
      <c r="G339">
        <v>1</v>
      </c>
      <c r="H339">
        <v>5</v>
      </c>
      <c r="I339" s="6">
        <v>420102004</v>
      </c>
      <c r="J339" t="s">
        <v>76</v>
      </c>
      <c r="K339">
        <f>2537409/1000</f>
        <v>2537.4090000000001</v>
      </c>
    </row>
    <row r="340" spans="1:11" x14ac:dyDescent="0.25">
      <c r="A340" t="s">
        <v>103</v>
      </c>
      <c r="B340" s="16">
        <v>1271538</v>
      </c>
      <c r="C340" t="s">
        <v>66</v>
      </c>
      <c r="D340" t="s">
        <v>67</v>
      </c>
      <c r="E340" t="s">
        <v>68</v>
      </c>
      <c r="F340">
        <v>2</v>
      </c>
      <c r="G340">
        <v>1</v>
      </c>
      <c r="H340">
        <v>5</v>
      </c>
      <c r="I340" s="6">
        <v>420105001</v>
      </c>
      <c r="J340" t="s">
        <v>71</v>
      </c>
      <c r="K340">
        <f>7353217/1000</f>
        <v>7353.2169999999996</v>
      </c>
    </row>
    <row r="341" spans="1:11" x14ac:dyDescent="0.25">
      <c r="A341" t="s">
        <v>104</v>
      </c>
      <c r="B341" s="16">
        <v>1271538</v>
      </c>
      <c r="C341" t="s">
        <v>66</v>
      </c>
      <c r="D341" t="s">
        <v>67</v>
      </c>
      <c r="E341" t="s">
        <v>68</v>
      </c>
      <c r="F341">
        <v>1</v>
      </c>
      <c r="G341">
        <v>1</v>
      </c>
      <c r="H341">
        <v>4</v>
      </c>
      <c r="I341" s="6">
        <v>420201001</v>
      </c>
      <c r="J341" t="s">
        <v>70</v>
      </c>
      <c r="K341">
        <f>3363058/1000</f>
        <v>3363.058</v>
      </c>
    </row>
    <row r="342" spans="1:11" x14ac:dyDescent="0.25">
      <c r="A342" t="s">
        <v>104</v>
      </c>
      <c r="B342" s="16">
        <v>1271538</v>
      </c>
      <c r="C342" t="s">
        <v>66</v>
      </c>
      <c r="D342" t="s">
        <v>67</v>
      </c>
      <c r="E342" t="s">
        <v>68</v>
      </c>
      <c r="F342">
        <v>1</v>
      </c>
      <c r="G342">
        <v>1</v>
      </c>
      <c r="H342">
        <v>4</v>
      </c>
      <c r="I342" s="6">
        <v>420102004</v>
      </c>
      <c r="J342" t="s">
        <v>76</v>
      </c>
      <c r="K342">
        <f>1391648/1000</f>
        <v>1391.6479999999999</v>
      </c>
    </row>
    <row r="343" spans="1:11" x14ac:dyDescent="0.25">
      <c r="A343" t="s">
        <v>104</v>
      </c>
      <c r="B343" s="16">
        <v>1271538</v>
      </c>
      <c r="C343" t="s">
        <v>66</v>
      </c>
      <c r="D343" t="s">
        <v>67</v>
      </c>
      <c r="E343" t="s">
        <v>68</v>
      </c>
      <c r="F343">
        <v>1</v>
      </c>
      <c r="G343">
        <v>1</v>
      </c>
      <c r="H343">
        <v>4</v>
      </c>
      <c r="I343" s="6">
        <v>420105001</v>
      </c>
      <c r="J343" t="s">
        <v>71</v>
      </c>
      <c r="K343">
        <f>5313063/1000</f>
        <v>5313.0630000000001</v>
      </c>
    </row>
    <row r="344" spans="1:11" x14ac:dyDescent="0.25">
      <c r="A344" t="s">
        <v>104</v>
      </c>
      <c r="B344" s="16">
        <v>1271538</v>
      </c>
      <c r="C344" t="s">
        <v>66</v>
      </c>
      <c r="D344" t="s">
        <v>67</v>
      </c>
      <c r="E344" t="s">
        <v>68</v>
      </c>
      <c r="F344">
        <v>1</v>
      </c>
      <c r="G344">
        <v>1</v>
      </c>
      <c r="H344">
        <v>1</v>
      </c>
      <c r="I344" s="6">
        <v>420105001</v>
      </c>
      <c r="J344" t="s">
        <v>71</v>
      </c>
      <c r="K344">
        <f>1068855/1000</f>
        <v>1068.855</v>
      </c>
    </row>
    <row r="345" spans="1:11" x14ac:dyDescent="0.25">
      <c r="A345" t="s">
        <v>104</v>
      </c>
      <c r="B345" s="16">
        <v>1271538</v>
      </c>
      <c r="C345" t="s">
        <v>66</v>
      </c>
      <c r="D345" t="s">
        <v>67</v>
      </c>
      <c r="E345" t="s">
        <v>68</v>
      </c>
      <c r="F345">
        <v>1</v>
      </c>
      <c r="G345">
        <v>1</v>
      </c>
      <c r="H345">
        <v>5</v>
      </c>
      <c r="I345" s="6">
        <v>420201001</v>
      </c>
      <c r="J345" t="s">
        <v>70</v>
      </c>
      <c r="K345">
        <f>2241239/1000</f>
        <v>2241.239</v>
      </c>
    </row>
    <row r="346" spans="1:11" x14ac:dyDescent="0.25">
      <c r="A346" t="s">
        <v>104</v>
      </c>
      <c r="B346" s="16">
        <v>1271538</v>
      </c>
      <c r="C346" t="s">
        <v>66</v>
      </c>
      <c r="D346" t="s">
        <v>67</v>
      </c>
      <c r="E346" t="s">
        <v>68</v>
      </c>
      <c r="F346">
        <v>1</v>
      </c>
      <c r="G346">
        <v>1</v>
      </c>
      <c r="H346">
        <v>5</v>
      </c>
      <c r="I346" s="6">
        <v>420102004</v>
      </c>
      <c r="J346" t="s">
        <v>76</v>
      </c>
      <c r="K346">
        <f>298026/1000</f>
        <v>298.02600000000001</v>
      </c>
    </row>
    <row r="347" spans="1:11" x14ac:dyDescent="0.25">
      <c r="A347" t="s">
        <v>104</v>
      </c>
      <c r="B347" s="16">
        <v>1271538</v>
      </c>
      <c r="C347" t="s">
        <v>66</v>
      </c>
      <c r="D347" t="s">
        <v>67</v>
      </c>
      <c r="E347" t="s">
        <v>68</v>
      </c>
      <c r="F347">
        <v>2</v>
      </c>
      <c r="G347">
        <v>1</v>
      </c>
      <c r="H347">
        <v>2</v>
      </c>
      <c r="I347" s="6">
        <v>420201001</v>
      </c>
      <c r="J347" t="s">
        <v>70</v>
      </c>
      <c r="K347" s="18">
        <f>4358520/1000</f>
        <v>4358.5200000000004</v>
      </c>
    </row>
    <row r="348" spans="1:11" x14ac:dyDescent="0.25">
      <c r="A348" t="s">
        <v>104</v>
      </c>
      <c r="B348" s="16">
        <v>1271538</v>
      </c>
      <c r="C348" t="s">
        <v>66</v>
      </c>
      <c r="D348" t="s">
        <v>67</v>
      </c>
      <c r="E348" t="s">
        <v>68</v>
      </c>
      <c r="F348">
        <v>2</v>
      </c>
      <c r="G348">
        <v>1</v>
      </c>
      <c r="H348">
        <v>5</v>
      </c>
      <c r="I348" s="6">
        <v>420102004</v>
      </c>
      <c r="J348" t="s">
        <v>76</v>
      </c>
      <c r="K348" s="18">
        <f>1950900/1000</f>
        <v>1950.9</v>
      </c>
    </row>
    <row r="349" spans="1:11" x14ac:dyDescent="0.25">
      <c r="A349" t="s">
        <v>104</v>
      </c>
      <c r="B349" s="16">
        <v>1271538</v>
      </c>
      <c r="C349" t="s">
        <v>66</v>
      </c>
      <c r="D349" t="s">
        <v>67</v>
      </c>
      <c r="E349" t="s">
        <v>68</v>
      </c>
      <c r="F349">
        <v>2</v>
      </c>
      <c r="G349">
        <v>1</v>
      </c>
      <c r="H349">
        <v>5</v>
      </c>
      <c r="I349" s="6">
        <v>420105001</v>
      </c>
      <c r="J349" t="s">
        <v>71</v>
      </c>
      <c r="K349">
        <f>6899221/1000</f>
        <v>6899.2209999999995</v>
      </c>
    </row>
    <row r="350" spans="1:11" x14ac:dyDescent="0.25">
      <c r="A350" t="s">
        <v>105</v>
      </c>
      <c r="B350" s="16">
        <v>1271538</v>
      </c>
      <c r="C350" t="s">
        <v>66</v>
      </c>
      <c r="D350" t="s">
        <v>67</v>
      </c>
      <c r="E350" t="s">
        <v>68</v>
      </c>
      <c r="F350">
        <v>1</v>
      </c>
      <c r="G350">
        <v>1</v>
      </c>
      <c r="H350">
        <v>4</v>
      </c>
      <c r="I350" s="6">
        <v>420201001</v>
      </c>
      <c r="J350" t="s">
        <v>70</v>
      </c>
      <c r="K350">
        <f>1817541/1000</f>
        <v>1817.5409999999999</v>
      </c>
    </row>
    <row r="351" spans="1:11" x14ac:dyDescent="0.25">
      <c r="A351" t="s">
        <v>105</v>
      </c>
      <c r="B351" s="16">
        <v>1271538</v>
      </c>
      <c r="C351" t="s">
        <v>66</v>
      </c>
      <c r="D351" t="s">
        <v>67</v>
      </c>
      <c r="E351" t="s">
        <v>68</v>
      </c>
      <c r="F351">
        <v>1</v>
      </c>
      <c r="G351">
        <v>1</v>
      </c>
      <c r="H351">
        <v>4</v>
      </c>
      <c r="I351" s="6">
        <v>420102004</v>
      </c>
      <c r="J351" t="s">
        <v>76</v>
      </c>
      <c r="K351">
        <f>1109742/1000</f>
        <v>1109.742</v>
      </c>
    </row>
    <row r="352" spans="1:11" x14ac:dyDescent="0.25">
      <c r="A352" t="s">
        <v>105</v>
      </c>
      <c r="B352" s="16">
        <v>1271538</v>
      </c>
      <c r="C352" t="s">
        <v>66</v>
      </c>
      <c r="D352" t="s">
        <v>67</v>
      </c>
      <c r="E352" t="s">
        <v>68</v>
      </c>
      <c r="F352">
        <v>1</v>
      </c>
      <c r="G352">
        <v>1</v>
      </c>
      <c r="H352">
        <v>4</v>
      </c>
      <c r="I352" s="6">
        <v>420105001</v>
      </c>
      <c r="J352" t="s">
        <v>71</v>
      </c>
      <c r="K352">
        <f>1470798/1000</f>
        <v>1470.798</v>
      </c>
    </row>
    <row r="353" spans="1:11" x14ac:dyDescent="0.25">
      <c r="A353" t="s">
        <v>105</v>
      </c>
      <c r="B353" s="16">
        <v>1271538</v>
      </c>
      <c r="C353" t="s">
        <v>66</v>
      </c>
      <c r="D353" t="s">
        <v>67</v>
      </c>
      <c r="E353" t="s">
        <v>68</v>
      </c>
      <c r="F353">
        <v>1</v>
      </c>
      <c r="G353">
        <v>1</v>
      </c>
      <c r="H353">
        <v>1</v>
      </c>
      <c r="I353" s="6">
        <v>420105001</v>
      </c>
      <c r="J353" t="s">
        <v>71</v>
      </c>
      <c r="K353">
        <f>1308639/1000</f>
        <v>1308.6389999999999</v>
      </c>
    </row>
    <row r="354" spans="1:11" x14ac:dyDescent="0.25">
      <c r="A354" t="s">
        <v>105</v>
      </c>
      <c r="B354" s="16">
        <v>1271538</v>
      </c>
      <c r="C354" t="s">
        <v>66</v>
      </c>
      <c r="D354" t="s">
        <v>67</v>
      </c>
      <c r="E354" t="s">
        <v>68</v>
      </c>
      <c r="F354">
        <v>1</v>
      </c>
      <c r="G354">
        <v>1</v>
      </c>
      <c r="H354">
        <v>5</v>
      </c>
      <c r="I354" s="6">
        <v>420201001</v>
      </c>
      <c r="J354" t="s">
        <v>70</v>
      </c>
      <c r="K354">
        <f>1297046/1000</f>
        <v>1297.046</v>
      </c>
    </row>
    <row r="355" spans="1:11" x14ac:dyDescent="0.25">
      <c r="A355" t="s">
        <v>105</v>
      </c>
      <c r="B355" s="16">
        <v>1271538</v>
      </c>
      <c r="C355" t="s">
        <v>66</v>
      </c>
      <c r="D355" t="s">
        <v>67</v>
      </c>
      <c r="E355" t="s">
        <v>68</v>
      </c>
      <c r="F355">
        <v>1</v>
      </c>
      <c r="G355">
        <v>1</v>
      </c>
      <c r="H355">
        <v>5</v>
      </c>
      <c r="I355" s="6">
        <v>420102004</v>
      </c>
      <c r="J355" t="s">
        <v>76</v>
      </c>
      <c r="K355">
        <f>100971/1000</f>
        <v>100.971</v>
      </c>
    </row>
    <row r="356" spans="1:11" x14ac:dyDescent="0.25">
      <c r="A356" t="s">
        <v>105</v>
      </c>
      <c r="B356" s="16">
        <v>1271538</v>
      </c>
      <c r="C356" t="s">
        <v>66</v>
      </c>
      <c r="D356" t="s">
        <v>67</v>
      </c>
      <c r="E356" t="s">
        <v>68</v>
      </c>
      <c r="F356">
        <v>2</v>
      </c>
      <c r="G356">
        <v>1</v>
      </c>
      <c r="H356">
        <v>2</v>
      </c>
      <c r="I356" s="6">
        <v>420201001</v>
      </c>
      <c r="J356" t="s">
        <v>70</v>
      </c>
      <c r="K356" s="18">
        <f>4253161/1000</f>
        <v>4253.1610000000001</v>
      </c>
    </row>
    <row r="357" spans="1:11" x14ac:dyDescent="0.25">
      <c r="A357" t="s">
        <v>105</v>
      </c>
      <c r="B357" s="16">
        <v>1271538</v>
      </c>
      <c r="C357" t="s">
        <v>66</v>
      </c>
      <c r="D357" t="s">
        <v>67</v>
      </c>
      <c r="E357" t="s">
        <v>68</v>
      </c>
      <c r="F357">
        <v>2</v>
      </c>
      <c r="G357">
        <v>1</v>
      </c>
      <c r="H357">
        <v>5</v>
      </c>
      <c r="I357" s="6">
        <v>420102004</v>
      </c>
      <c r="J357" t="s">
        <v>76</v>
      </c>
      <c r="K357" s="18">
        <f>2732462/1000</f>
        <v>2732.462</v>
      </c>
    </row>
    <row r="358" spans="1:11" x14ac:dyDescent="0.25">
      <c r="A358" t="s">
        <v>105</v>
      </c>
      <c r="B358" s="16">
        <v>1271538</v>
      </c>
      <c r="C358" t="s">
        <v>66</v>
      </c>
      <c r="D358" t="s">
        <v>67</v>
      </c>
      <c r="E358" t="s">
        <v>68</v>
      </c>
      <c r="F358">
        <v>2</v>
      </c>
      <c r="G358">
        <v>1</v>
      </c>
      <c r="H358">
        <v>5</v>
      </c>
      <c r="I358" s="6">
        <v>420105001</v>
      </c>
      <c r="J358" t="s">
        <v>71</v>
      </c>
      <c r="K358">
        <f>1613059/1000</f>
        <v>1613.059</v>
      </c>
    </row>
    <row r="359" spans="1:11" x14ac:dyDescent="0.25">
      <c r="A359" t="s">
        <v>106</v>
      </c>
      <c r="B359" s="16">
        <v>1271538</v>
      </c>
      <c r="C359" t="s">
        <v>66</v>
      </c>
      <c r="D359" t="s">
        <v>67</v>
      </c>
      <c r="E359" t="s">
        <v>68</v>
      </c>
      <c r="F359">
        <v>1</v>
      </c>
      <c r="G359">
        <v>1</v>
      </c>
      <c r="H359">
        <v>4</v>
      </c>
      <c r="I359" s="6">
        <v>420201001</v>
      </c>
      <c r="J359" t="s">
        <v>70</v>
      </c>
      <c r="K359">
        <f>4246349/1000</f>
        <v>4246.3490000000002</v>
      </c>
    </row>
    <row r="360" spans="1:11" x14ac:dyDescent="0.25">
      <c r="A360" t="s">
        <v>106</v>
      </c>
      <c r="B360" s="16">
        <v>1271538</v>
      </c>
      <c r="C360" t="s">
        <v>66</v>
      </c>
      <c r="D360" t="s">
        <v>67</v>
      </c>
      <c r="E360" t="s">
        <v>68</v>
      </c>
      <c r="F360">
        <v>1</v>
      </c>
      <c r="G360">
        <v>1</v>
      </c>
      <c r="H360">
        <v>4</v>
      </c>
      <c r="I360" s="6">
        <v>420102004</v>
      </c>
      <c r="J360" t="s">
        <v>76</v>
      </c>
      <c r="K360">
        <f>2419644/1000</f>
        <v>2419.6439999999998</v>
      </c>
    </row>
    <row r="361" spans="1:11" x14ac:dyDescent="0.25">
      <c r="A361" t="s">
        <v>106</v>
      </c>
      <c r="B361" s="16">
        <v>1271538</v>
      </c>
      <c r="C361" t="s">
        <v>66</v>
      </c>
      <c r="D361" t="s">
        <v>67</v>
      </c>
      <c r="E361" t="s">
        <v>68</v>
      </c>
      <c r="F361">
        <v>1</v>
      </c>
      <c r="G361">
        <v>1</v>
      </c>
      <c r="H361">
        <v>4</v>
      </c>
      <c r="I361" s="6">
        <v>420105001</v>
      </c>
      <c r="J361" t="s">
        <v>71</v>
      </c>
      <c r="K361">
        <f>1803554/1000</f>
        <v>1803.5540000000001</v>
      </c>
    </row>
    <row r="362" spans="1:11" x14ac:dyDescent="0.25">
      <c r="A362" t="s">
        <v>106</v>
      </c>
      <c r="B362" s="16">
        <v>1271538</v>
      </c>
      <c r="C362" t="s">
        <v>66</v>
      </c>
      <c r="D362" t="s">
        <v>67</v>
      </c>
      <c r="E362" t="s">
        <v>68</v>
      </c>
      <c r="F362">
        <v>1</v>
      </c>
      <c r="G362">
        <v>1</v>
      </c>
      <c r="H362">
        <v>1</v>
      </c>
      <c r="I362" s="6">
        <v>420105001</v>
      </c>
      <c r="J362" t="s">
        <v>71</v>
      </c>
      <c r="K362">
        <f>1323635/1000</f>
        <v>1323.635</v>
      </c>
    </row>
    <row r="363" spans="1:11" x14ac:dyDescent="0.25">
      <c r="A363" t="s">
        <v>106</v>
      </c>
      <c r="B363" s="16">
        <v>1271538</v>
      </c>
      <c r="C363" t="s">
        <v>66</v>
      </c>
      <c r="D363" t="s">
        <v>67</v>
      </c>
      <c r="E363" t="s">
        <v>68</v>
      </c>
      <c r="F363">
        <v>1</v>
      </c>
      <c r="G363">
        <v>1</v>
      </c>
      <c r="H363">
        <v>5</v>
      </c>
      <c r="I363" s="6">
        <v>420201001</v>
      </c>
      <c r="J363" t="s">
        <v>70</v>
      </c>
      <c r="K363">
        <f>953495/1000</f>
        <v>953.495</v>
      </c>
    </row>
    <row r="364" spans="1:11" x14ac:dyDescent="0.25">
      <c r="A364" t="s">
        <v>106</v>
      </c>
      <c r="B364" s="16">
        <v>1271538</v>
      </c>
      <c r="C364" t="s">
        <v>66</v>
      </c>
      <c r="D364" t="s">
        <v>67</v>
      </c>
      <c r="E364" t="s">
        <v>68</v>
      </c>
      <c r="F364">
        <v>1</v>
      </c>
      <c r="G364">
        <v>1</v>
      </c>
      <c r="H364">
        <v>5</v>
      </c>
      <c r="I364" s="6">
        <v>420102004</v>
      </c>
      <c r="J364" t="s">
        <v>76</v>
      </c>
      <c r="K364">
        <f>44176/1000</f>
        <v>44.176000000000002</v>
      </c>
    </row>
    <row r="365" spans="1:11" x14ac:dyDescent="0.25">
      <c r="A365" t="s">
        <v>106</v>
      </c>
      <c r="B365" s="16">
        <v>1271538</v>
      </c>
      <c r="C365" t="s">
        <v>66</v>
      </c>
      <c r="D365" t="s">
        <v>67</v>
      </c>
      <c r="E365" t="s">
        <v>68</v>
      </c>
      <c r="F365">
        <v>2</v>
      </c>
      <c r="G365">
        <v>1</v>
      </c>
      <c r="H365">
        <v>2</v>
      </c>
      <c r="I365" s="6">
        <v>420201001</v>
      </c>
      <c r="J365" t="s">
        <v>70</v>
      </c>
      <c r="K365">
        <f>4099940/1000</f>
        <v>4099.9399999999996</v>
      </c>
    </row>
    <row r="366" spans="1:11" x14ac:dyDescent="0.25">
      <c r="A366" t="s">
        <v>106</v>
      </c>
      <c r="B366" s="16">
        <v>1271538</v>
      </c>
      <c r="C366" t="s">
        <v>66</v>
      </c>
      <c r="D366" t="s">
        <v>67</v>
      </c>
      <c r="E366" t="s">
        <v>68</v>
      </c>
      <c r="F366">
        <v>2</v>
      </c>
      <c r="G366">
        <v>1</v>
      </c>
      <c r="H366">
        <v>5</v>
      </c>
      <c r="I366" s="6">
        <v>420102004</v>
      </c>
      <c r="J366" t="s">
        <v>76</v>
      </c>
      <c r="K366">
        <f>1287133/1000</f>
        <v>1287.133</v>
      </c>
    </row>
    <row r="367" spans="1:11" x14ac:dyDescent="0.25">
      <c r="A367" t="s">
        <v>106</v>
      </c>
      <c r="B367" s="16">
        <v>1271538</v>
      </c>
      <c r="C367" t="s">
        <v>66</v>
      </c>
      <c r="D367" t="s">
        <v>67</v>
      </c>
      <c r="E367" t="s">
        <v>68</v>
      </c>
      <c r="F367">
        <v>2</v>
      </c>
      <c r="G367">
        <v>1</v>
      </c>
      <c r="H367">
        <v>5</v>
      </c>
      <c r="I367" s="6">
        <v>420105001</v>
      </c>
      <c r="J367" t="s">
        <v>71</v>
      </c>
      <c r="K367">
        <f>6347408/1000</f>
        <v>6347.4080000000004</v>
      </c>
    </row>
    <row r="368" spans="1:11" x14ac:dyDescent="0.25">
      <c r="A368" t="s">
        <v>107</v>
      </c>
      <c r="B368" s="16">
        <v>1271538</v>
      </c>
      <c r="C368" t="s">
        <v>66</v>
      </c>
      <c r="D368" t="s">
        <v>67</v>
      </c>
      <c r="E368" t="s">
        <v>68</v>
      </c>
      <c r="F368">
        <v>1</v>
      </c>
      <c r="G368">
        <v>1</v>
      </c>
      <c r="H368">
        <v>4</v>
      </c>
      <c r="I368" s="6">
        <v>420201001</v>
      </c>
      <c r="J368" t="s">
        <v>70</v>
      </c>
      <c r="K368" s="18">
        <f>1110005/1000</f>
        <v>1110.0050000000001</v>
      </c>
    </row>
    <row r="369" spans="1:11" x14ac:dyDescent="0.25">
      <c r="A369" t="s">
        <v>107</v>
      </c>
      <c r="B369" s="16">
        <v>1271538</v>
      </c>
      <c r="C369" t="s">
        <v>66</v>
      </c>
      <c r="D369" t="s">
        <v>67</v>
      </c>
      <c r="E369" t="s">
        <v>68</v>
      </c>
      <c r="F369">
        <v>1</v>
      </c>
      <c r="G369">
        <v>1</v>
      </c>
      <c r="H369">
        <v>4</v>
      </c>
      <c r="I369" s="6">
        <v>420102004</v>
      </c>
      <c r="J369" t="s">
        <v>76</v>
      </c>
      <c r="K369" s="18">
        <f>1050639/1000</f>
        <v>1050.6389999999999</v>
      </c>
    </row>
    <row r="370" spans="1:11" x14ac:dyDescent="0.25">
      <c r="A370" t="s">
        <v>107</v>
      </c>
      <c r="B370" s="16">
        <v>1271538</v>
      </c>
      <c r="C370" t="s">
        <v>66</v>
      </c>
      <c r="D370" t="s">
        <v>67</v>
      </c>
      <c r="E370" t="s">
        <v>68</v>
      </c>
      <c r="F370">
        <v>1</v>
      </c>
      <c r="G370">
        <v>1</v>
      </c>
      <c r="H370">
        <v>4</v>
      </c>
      <c r="I370" s="6">
        <v>320101001</v>
      </c>
      <c r="J370" t="s">
        <v>72</v>
      </c>
      <c r="K370" s="18">
        <f>1808873/1000</f>
        <v>1808.873</v>
      </c>
    </row>
    <row r="371" spans="1:11" x14ac:dyDescent="0.25">
      <c r="A371" t="s">
        <v>107</v>
      </c>
      <c r="B371" s="16">
        <v>1271538</v>
      </c>
      <c r="C371" t="s">
        <v>66</v>
      </c>
      <c r="D371" t="s">
        <v>67</v>
      </c>
      <c r="E371" t="s">
        <v>68</v>
      </c>
      <c r="F371">
        <v>1</v>
      </c>
      <c r="G371">
        <v>1</v>
      </c>
      <c r="H371">
        <v>4</v>
      </c>
      <c r="I371" s="6">
        <v>420105001</v>
      </c>
      <c r="J371" t="s">
        <v>71</v>
      </c>
      <c r="K371" s="18">
        <f>8235338/1000</f>
        <v>8235.3379999999997</v>
      </c>
    </row>
    <row r="372" spans="1:11" x14ac:dyDescent="0.25">
      <c r="A372" t="s">
        <v>107</v>
      </c>
      <c r="B372" s="16">
        <v>1271538</v>
      </c>
      <c r="C372" t="s">
        <v>66</v>
      </c>
      <c r="D372" t="s">
        <v>67</v>
      </c>
      <c r="E372" t="s">
        <v>68</v>
      </c>
      <c r="F372">
        <v>1</v>
      </c>
      <c r="G372">
        <v>1</v>
      </c>
      <c r="H372">
        <v>1</v>
      </c>
      <c r="I372" s="6">
        <v>420105001</v>
      </c>
      <c r="J372" t="s">
        <v>71</v>
      </c>
      <c r="K372" s="18">
        <f>945836/1000</f>
        <v>945.83600000000001</v>
      </c>
    </row>
    <row r="373" spans="1:11" x14ac:dyDescent="0.25">
      <c r="A373" t="s">
        <v>107</v>
      </c>
      <c r="B373" s="16">
        <v>1271538</v>
      </c>
      <c r="C373" t="s">
        <v>66</v>
      </c>
      <c r="D373" t="s">
        <v>67</v>
      </c>
      <c r="E373" t="s">
        <v>68</v>
      </c>
      <c r="F373">
        <v>1</v>
      </c>
      <c r="G373">
        <v>1</v>
      </c>
      <c r="H373">
        <v>5</v>
      </c>
      <c r="I373" s="6">
        <v>420201001</v>
      </c>
      <c r="J373" t="s">
        <v>70</v>
      </c>
      <c r="K373" s="18">
        <f>2217475/1000</f>
        <v>2217.4749999999999</v>
      </c>
    </row>
    <row r="374" spans="1:11" x14ac:dyDescent="0.25">
      <c r="A374" t="s">
        <v>107</v>
      </c>
      <c r="B374" s="16">
        <v>1271539</v>
      </c>
      <c r="C374" t="s">
        <v>66</v>
      </c>
      <c r="D374" t="s">
        <v>67</v>
      </c>
      <c r="E374" t="s">
        <v>68</v>
      </c>
      <c r="F374">
        <v>1</v>
      </c>
      <c r="G374">
        <v>1</v>
      </c>
      <c r="H374">
        <v>5</v>
      </c>
      <c r="I374" s="6">
        <v>420102004</v>
      </c>
      <c r="J374" t="s">
        <v>76</v>
      </c>
      <c r="K374" s="18">
        <f>1100926/1000</f>
        <v>1100.9259999999999</v>
      </c>
    </row>
    <row r="375" spans="1:11" x14ac:dyDescent="0.25">
      <c r="A375" t="s">
        <v>107</v>
      </c>
      <c r="B375" s="16">
        <v>1271538</v>
      </c>
      <c r="C375" t="s">
        <v>66</v>
      </c>
      <c r="D375" t="s">
        <v>67</v>
      </c>
      <c r="E375" t="s">
        <v>68</v>
      </c>
      <c r="F375">
        <v>1</v>
      </c>
      <c r="G375">
        <v>1</v>
      </c>
      <c r="H375">
        <v>5</v>
      </c>
      <c r="I375" s="6">
        <v>420105001</v>
      </c>
      <c r="J375" t="s">
        <v>71</v>
      </c>
      <c r="K375" s="18">
        <f>387469/1000</f>
        <v>387.46899999999999</v>
      </c>
    </row>
    <row r="376" spans="1:11" x14ac:dyDescent="0.25">
      <c r="A376" t="s">
        <v>107</v>
      </c>
      <c r="B376" s="16">
        <v>1271538</v>
      </c>
      <c r="C376" t="s">
        <v>66</v>
      </c>
      <c r="D376" t="s">
        <v>67</v>
      </c>
      <c r="E376" t="s">
        <v>68</v>
      </c>
      <c r="F376">
        <v>2</v>
      </c>
      <c r="G376">
        <v>1</v>
      </c>
      <c r="H376">
        <v>1</v>
      </c>
      <c r="I376" s="6">
        <v>420105001</v>
      </c>
      <c r="J376" t="s">
        <v>71</v>
      </c>
      <c r="K376" s="18">
        <f>201572/1000</f>
        <v>201.572</v>
      </c>
    </row>
    <row r="377" spans="1:11" x14ac:dyDescent="0.25">
      <c r="A377" t="s">
        <v>107</v>
      </c>
      <c r="B377" s="16">
        <v>1271538</v>
      </c>
      <c r="C377" t="s">
        <v>66</v>
      </c>
      <c r="D377" t="s">
        <v>67</v>
      </c>
      <c r="E377" t="s">
        <v>68</v>
      </c>
      <c r="F377">
        <v>2</v>
      </c>
      <c r="G377">
        <v>1</v>
      </c>
      <c r="H377">
        <v>5</v>
      </c>
      <c r="I377" s="6">
        <v>420102004</v>
      </c>
      <c r="J377" t="s">
        <v>76</v>
      </c>
      <c r="K377" s="18">
        <f>4188354/1000</f>
        <v>4188.3540000000003</v>
      </c>
    </row>
    <row r="378" spans="1:11" x14ac:dyDescent="0.25">
      <c r="A378" t="s">
        <v>107</v>
      </c>
      <c r="B378" s="16">
        <v>1271538</v>
      </c>
      <c r="C378" t="s">
        <v>66</v>
      </c>
      <c r="D378" t="s">
        <v>67</v>
      </c>
      <c r="E378" t="s">
        <v>68</v>
      </c>
      <c r="F378">
        <v>2</v>
      </c>
      <c r="G378">
        <v>1</v>
      </c>
      <c r="H378">
        <v>5</v>
      </c>
      <c r="I378" s="6">
        <v>320101001</v>
      </c>
      <c r="J378" t="s">
        <v>72</v>
      </c>
      <c r="K378" s="18">
        <f>1126180/1000</f>
        <v>1126.18</v>
      </c>
    </row>
    <row r="379" spans="1:11" x14ac:dyDescent="0.25">
      <c r="A379" t="s">
        <v>107</v>
      </c>
      <c r="B379" s="16">
        <v>1271538</v>
      </c>
      <c r="C379" t="s">
        <v>66</v>
      </c>
      <c r="D379" t="s">
        <v>67</v>
      </c>
      <c r="E379" t="s">
        <v>68</v>
      </c>
      <c r="F379">
        <v>2</v>
      </c>
      <c r="G379">
        <v>1</v>
      </c>
      <c r="H379">
        <v>5</v>
      </c>
      <c r="I379" s="6">
        <v>420105001</v>
      </c>
      <c r="J379" t="s">
        <v>71</v>
      </c>
      <c r="K379" s="18">
        <f>7636752/1000</f>
        <v>7636.7520000000004</v>
      </c>
    </row>
    <row r="380" spans="1:11" x14ac:dyDescent="0.25">
      <c r="A380" t="s">
        <v>108</v>
      </c>
      <c r="B380" s="16">
        <v>1271538</v>
      </c>
      <c r="C380" t="s">
        <v>66</v>
      </c>
      <c r="D380" t="s">
        <v>67</v>
      </c>
      <c r="E380" t="s">
        <v>68</v>
      </c>
      <c r="F380">
        <v>1</v>
      </c>
      <c r="G380">
        <v>1</v>
      </c>
      <c r="H380">
        <v>4</v>
      </c>
      <c r="I380" s="6">
        <v>420201001</v>
      </c>
      <c r="J380" t="s">
        <v>70</v>
      </c>
      <c r="K380" s="18">
        <f>4289668/1000</f>
        <v>4289.6679999999997</v>
      </c>
    </row>
    <row r="381" spans="1:11" x14ac:dyDescent="0.25">
      <c r="A381" t="s">
        <v>108</v>
      </c>
      <c r="B381" s="16">
        <v>1271538</v>
      </c>
      <c r="C381" t="s">
        <v>66</v>
      </c>
      <c r="D381" t="s">
        <v>67</v>
      </c>
      <c r="E381" t="s">
        <v>68</v>
      </c>
      <c r="F381">
        <v>1</v>
      </c>
      <c r="G381">
        <v>1</v>
      </c>
      <c r="H381">
        <v>4</v>
      </c>
      <c r="I381" s="6">
        <v>420102004</v>
      </c>
      <c r="J381" t="s">
        <v>76</v>
      </c>
      <c r="K381" s="18">
        <f>872567/1000</f>
        <v>872.56700000000001</v>
      </c>
    </row>
    <row r="382" spans="1:11" x14ac:dyDescent="0.25">
      <c r="A382" t="s">
        <v>108</v>
      </c>
      <c r="B382" s="16">
        <v>1271538</v>
      </c>
      <c r="C382" t="s">
        <v>66</v>
      </c>
      <c r="D382" t="s">
        <v>67</v>
      </c>
      <c r="E382" t="s">
        <v>68</v>
      </c>
      <c r="F382">
        <v>1</v>
      </c>
      <c r="G382">
        <v>1</v>
      </c>
      <c r="H382">
        <v>4</v>
      </c>
      <c r="I382" s="6">
        <v>320101001</v>
      </c>
      <c r="J382" t="s">
        <v>72</v>
      </c>
      <c r="K382" s="18">
        <f>6876806/1000</f>
        <v>6876.8059999999996</v>
      </c>
    </row>
    <row r="383" spans="1:11" x14ac:dyDescent="0.25">
      <c r="A383" t="s">
        <v>108</v>
      </c>
      <c r="B383" s="16">
        <v>1271538</v>
      </c>
      <c r="C383" t="s">
        <v>66</v>
      </c>
      <c r="D383" t="s">
        <v>67</v>
      </c>
      <c r="E383" t="s">
        <v>68</v>
      </c>
      <c r="F383">
        <v>1</v>
      </c>
      <c r="G383">
        <v>1</v>
      </c>
      <c r="H383">
        <v>4</v>
      </c>
      <c r="I383" s="6">
        <v>420105001</v>
      </c>
      <c r="J383" t="s">
        <v>71</v>
      </c>
      <c r="K383" s="18">
        <f>2707725/1000</f>
        <v>2707.7249999999999</v>
      </c>
    </row>
    <row r="384" spans="1:11" x14ac:dyDescent="0.25">
      <c r="A384" t="s">
        <v>108</v>
      </c>
      <c r="B384" s="16">
        <v>1271538</v>
      </c>
      <c r="C384" t="s">
        <v>66</v>
      </c>
      <c r="D384" t="s">
        <v>67</v>
      </c>
      <c r="E384" t="s">
        <v>68</v>
      </c>
      <c r="F384">
        <v>1</v>
      </c>
      <c r="G384">
        <v>1</v>
      </c>
      <c r="H384">
        <v>1</v>
      </c>
      <c r="I384" s="6">
        <v>420105001</v>
      </c>
      <c r="J384" t="s">
        <v>71</v>
      </c>
      <c r="K384" s="18">
        <f>891906/1000</f>
        <v>891.90599999999995</v>
      </c>
    </row>
    <row r="385" spans="1:11" x14ac:dyDescent="0.25">
      <c r="A385" t="s">
        <v>108</v>
      </c>
      <c r="B385" s="16">
        <v>1271538</v>
      </c>
      <c r="C385" t="s">
        <v>66</v>
      </c>
      <c r="D385" t="s">
        <v>67</v>
      </c>
      <c r="E385" t="s">
        <v>68</v>
      </c>
      <c r="F385">
        <v>1</v>
      </c>
      <c r="G385">
        <v>1</v>
      </c>
      <c r="H385">
        <v>5</v>
      </c>
      <c r="I385" s="6">
        <v>420201001</v>
      </c>
      <c r="J385" t="s">
        <v>70</v>
      </c>
      <c r="K385" s="18">
        <f>1102735/1000</f>
        <v>1102.7349999999999</v>
      </c>
    </row>
    <row r="386" spans="1:11" x14ac:dyDescent="0.25">
      <c r="A386" t="s">
        <v>108</v>
      </c>
      <c r="B386" s="16">
        <v>1271539</v>
      </c>
      <c r="C386" t="s">
        <v>66</v>
      </c>
      <c r="D386" t="s">
        <v>67</v>
      </c>
      <c r="E386" t="s">
        <v>68</v>
      </c>
      <c r="F386">
        <v>1</v>
      </c>
      <c r="G386">
        <v>1</v>
      </c>
      <c r="H386">
        <v>5</v>
      </c>
      <c r="I386" s="6">
        <v>420102004</v>
      </c>
      <c r="J386" t="s">
        <v>76</v>
      </c>
      <c r="K386" s="18">
        <f>796487/1000</f>
        <v>796.48699999999997</v>
      </c>
    </row>
    <row r="387" spans="1:11" x14ac:dyDescent="0.25">
      <c r="A387" t="s">
        <v>108</v>
      </c>
      <c r="B387" s="16">
        <v>1271538</v>
      </c>
      <c r="C387" t="s">
        <v>66</v>
      </c>
      <c r="D387" t="s">
        <v>67</v>
      </c>
      <c r="E387" t="s">
        <v>68</v>
      </c>
      <c r="F387">
        <v>1</v>
      </c>
      <c r="G387">
        <v>1</v>
      </c>
      <c r="H387">
        <v>5</v>
      </c>
      <c r="I387" s="6">
        <v>420105001</v>
      </c>
      <c r="J387" t="s">
        <v>71</v>
      </c>
      <c r="K387" s="18">
        <f>3348748/1000</f>
        <v>3348.748</v>
      </c>
    </row>
    <row r="388" spans="1:11" x14ac:dyDescent="0.25">
      <c r="A388" t="s">
        <v>108</v>
      </c>
      <c r="B388" s="16">
        <v>1271538</v>
      </c>
      <c r="C388" t="s">
        <v>66</v>
      </c>
      <c r="D388" t="s">
        <v>67</v>
      </c>
      <c r="E388" t="s">
        <v>68</v>
      </c>
      <c r="F388">
        <v>2</v>
      </c>
      <c r="G388">
        <v>1</v>
      </c>
      <c r="H388">
        <v>1</v>
      </c>
      <c r="I388" s="6">
        <v>420105001</v>
      </c>
      <c r="J388" t="s">
        <v>71</v>
      </c>
      <c r="K388" s="18">
        <f>3977704/1000</f>
        <v>3977.7040000000002</v>
      </c>
    </row>
    <row r="389" spans="1:11" x14ac:dyDescent="0.25">
      <c r="A389" t="s">
        <v>108</v>
      </c>
      <c r="B389" s="16">
        <v>1271538</v>
      </c>
      <c r="C389" t="s">
        <v>66</v>
      </c>
      <c r="D389" t="s">
        <v>67</v>
      </c>
      <c r="E389" t="s">
        <v>68</v>
      </c>
      <c r="F389">
        <v>2</v>
      </c>
      <c r="G389">
        <v>1</v>
      </c>
      <c r="H389">
        <v>5</v>
      </c>
      <c r="I389" s="6">
        <v>420102004</v>
      </c>
      <c r="J389" t="s">
        <v>76</v>
      </c>
      <c r="K389" s="18">
        <f>1689633/1000</f>
        <v>1689.633</v>
      </c>
    </row>
    <row r="390" spans="1:11" x14ac:dyDescent="0.25">
      <c r="A390" t="s">
        <v>108</v>
      </c>
      <c r="B390" s="16">
        <v>1271538</v>
      </c>
      <c r="C390" t="s">
        <v>66</v>
      </c>
      <c r="D390" t="s">
        <v>67</v>
      </c>
      <c r="E390" t="s">
        <v>68</v>
      </c>
      <c r="F390">
        <v>2</v>
      </c>
      <c r="G390">
        <v>1</v>
      </c>
      <c r="H390">
        <v>5</v>
      </c>
      <c r="I390" s="6">
        <v>320101001</v>
      </c>
      <c r="J390" t="s">
        <v>72</v>
      </c>
      <c r="K390" s="18">
        <f>6159477/1000</f>
        <v>6159.4769999999999</v>
      </c>
    </row>
    <row r="391" spans="1:11" x14ac:dyDescent="0.25">
      <c r="A391" t="s">
        <v>108</v>
      </c>
      <c r="B391" s="16">
        <v>1271538</v>
      </c>
      <c r="C391" t="s">
        <v>66</v>
      </c>
      <c r="D391" t="s">
        <v>67</v>
      </c>
      <c r="E391" t="s">
        <v>68</v>
      </c>
      <c r="F391">
        <v>2</v>
      </c>
      <c r="G391">
        <v>1</v>
      </c>
      <c r="H391">
        <v>5</v>
      </c>
      <c r="I391" s="6">
        <v>420105001</v>
      </c>
      <c r="J391" t="s">
        <v>71</v>
      </c>
      <c r="K391" s="18">
        <f>6296167/1000</f>
        <v>6296.1670000000004</v>
      </c>
    </row>
    <row r="392" spans="1:11" x14ac:dyDescent="0.25">
      <c r="A392" t="s">
        <v>109</v>
      </c>
      <c r="B392" s="16">
        <v>1271538</v>
      </c>
      <c r="C392" t="s">
        <v>66</v>
      </c>
      <c r="D392" t="s">
        <v>67</v>
      </c>
      <c r="E392" t="s">
        <v>68</v>
      </c>
      <c r="F392">
        <v>1</v>
      </c>
      <c r="G392">
        <v>1</v>
      </c>
      <c r="H392">
        <v>4</v>
      </c>
      <c r="I392" s="6">
        <v>420201001</v>
      </c>
      <c r="J392" t="s">
        <v>70</v>
      </c>
      <c r="K392">
        <f>1455914/1000</f>
        <v>1455.914</v>
      </c>
    </row>
    <row r="393" spans="1:11" x14ac:dyDescent="0.25">
      <c r="A393" t="s">
        <v>109</v>
      </c>
      <c r="B393" s="16">
        <v>1271538</v>
      </c>
      <c r="C393" t="s">
        <v>66</v>
      </c>
      <c r="D393" t="s">
        <v>67</v>
      </c>
      <c r="E393" t="s">
        <v>68</v>
      </c>
      <c r="F393">
        <v>1</v>
      </c>
      <c r="G393">
        <v>1</v>
      </c>
      <c r="H393">
        <v>4</v>
      </c>
      <c r="I393" s="6">
        <v>420102004</v>
      </c>
      <c r="J393" t="s">
        <v>76</v>
      </c>
      <c r="K393">
        <f>1466827/1000</f>
        <v>1466.827</v>
      </c>
    </row>
    <row r="394" spans="1:11" x14ac:dyDescent="0.25">
      <c r="A394" t="s">
        <v>109</v>
      </c>
      <c r="B394" s="16">
        <v>1271538</v>
      </c>
      <c r="C394" t="s">
        <v>66</v>
      </c>
      <c r="D394" t="s">
        <v>67</v>
      </c>
      <c r="E394" t="s">
        <v>68</v>
      </c>
      <c r="F394">
        <v>1</v>
      </c>
      <c r="G394">
        <v>1</v>
      </c>
      <c r="H394">
        <v>4</v>
      </c>
      <c r="I394" s="6">
        <v>320101001</v>
      </c>
      <c r="J394" t="s">
        <v>72</v>
      </c>
      <c r="K394">
        <f>3198186/1000</f>
        <v>3198.1860000000001</v>
      </c>
    </row>
    <row r="395" spans="1:11" x14ac:dyDescent="0.25">
      <c r="A395" t="s">
        <v>109</v>
      </c>
      <c r="B395" s="16">
        <v>1271538</v>
      </c>
      <c r="C395" t="s">
        <v>66</v>
      </c>
      <c r="D395" t="s">
        <v>67</v>
      </c>
      <c r="E395" t="s">
        <v>68</v>
      </c>
      <c r="F395">
        <v>1</v>
      </c>
      <c r="G395">
        <v>1</v>
      </c>
      <c r="H395">
        <v>4</v>
      </c>
      <c r="I395" s="6">
        <v>420105001</v>
      </c>
      <c r="J395" t="s">
        <v>71</v>
      </c>
      <c r="K395">
        <f>3714145/1000</f>
        <v>3714.145</v>
      </c>
    </row>
    <row r="396" spans="1:11" x14ac:dyDescent="0.25">
      <c r="A396" t="s">
        <v>109</v>
      </c>
      <c r="B396" s="16">
        <v>1271538</v>
      </c>
      <c r="C396" t="s">
        <v>66</v>
      </c>
      <c r="D396" t="s">
        <v>67</v>
      </c>
      <c r="E396" t="s">
        <v>68</v>
      </c>
      <c r="F396">
        <v>1</v>
      </c>
      <c r="G396">
        <v>1</v>
      </c>
      <c r="H396">
        <v>1</v>
      </c>
      <c r="I396" s="6">
        <v>420105001</v>
      </c>
      <c r="J396" t="s">
        <v>71</v>
      </c>
      <c r="K396">
        <f>2435752/1000</f>
        <v>2435.752</v>
      </c>
    </row>
    <row r="397" spans="1:11" x14ac:dyDescent="0.25">
      <c r="A397" t="s">
        <v>109</v>
      </c>
      <c r="B397" s="16">
        <v>1271538</v>
      </c>
      <c r="C397" t="s">
        <v>66</v>
      </c>
      <c r="D397" t="s">
        <v>67</v>
      </c>
      <c r="E397" t="s">
        <v>68</v>
      </c>
      <c r="F397">
        <v>1</v>
      </c>
      <c r="G397">
        <v>1</v>
      </c>
      <c r="H397">
        <v>5</v>
      </c>
      <c r="I397" s="6">
        <v>420201001</v>
      </c>
      <c r="J397" t="s">
        <v>70</v>
      </c>
      <c r="K397">
        <f>3026723/1000</f>
        <v>3026.723</v>
      </c>
    </row>
    <row r="398" spans="1:11" x14ac:dyDescent="0.25">
      <c r="A398" t="s">
        <v>109</v>
      </c>
      <c r="B398" s="16">
        <v>1271539</v>
      </c>
      <c r="C398" t="s">
        <v>66</v>
      </c>
      <c r="D398" t="s">
        <v>67</v>
      </c>
      <c r="E398" t="s">
        <v>68</v>
      </c>
      <c r="F398">
        <v>1</v>
      </c>
      <c r="G398">
        <v>1</v>
      </c>
      <c r="H398">
        <v>5</v>
      </c>
      <c r="I398" s="6">
        <v>420102004</v>
      </c>
      <c r="J398" t="s">
        <v>76</v>
      </c>
      <c r="K398">
        <f>1504055/1000</f>
        <v>1504.0550000000001</v>
      </c>
    </row>
    <row r="399" spans="1:11" x14ac:dyDescent="0.25">
      <c r="A399" t="s">
        <v>109</v>
      </c>
      <c r="B399" s="16">
        <v>1271538</v>
      </c>
      <c r="C399" t="s">
        <v>66</v>
      </c>
      <c r="D399" t="s">
        <v>67</v>
      </c>
      <c r="E399" t="s">
        <v>68</v>
      </c>
      <c r="F399">
        <v>1</v>
      </c>
      <c r="G399">
        <v>1</v>
      </c>
      <c r="H399">
        <v>5</v>
      </c>
      <c r="I399" s="6">
        <v>420105001</v>
      </c>
      <c r="J399" t="s">
        <v>71</v>
      </c>
      <c r="K399">
        <f>5002202/1000</f>
        <v>5002.2020000000002</v>
      </c>
    </row>
    <row r="400" spans="1:11" x14ac:dyDescent="0.25">
      <c r="A400" t="s">
        <v>109</v>
      </c>
      <c r="B400" s="16">
        <v>1271538</v>
      </c>
      <c r="C400" t="s">
        <v>66</v>
      </c>
      <c r="D400" t="s">
        <v>67</v>
      </c>
      <c r="E400" t="s">
        <v>68</v>
      </c>
      <c r="F400">
        <v>2</v>
      </c>
      <c r="G400">
        <v>1</v>
      </c>
      <c r="H400">
        <v>1</v>
      </c>
      <c r="I400" s="6">
        <v>420105001</v>
      </c>
      <c r="J400" t="s">
        <v>71</v>
      </c>
      <c r="K400">
        <f>59370/1000</f>
        <v>59.37</v>
      </c>
    </row>
    <row r="401" spans="1:11" x14ac:dyDescent="0.25">
      <c r="A401" t="s">
        <v>109</v>
      </c>
      <c r="B401" s="16">
        <v>1271538</v>
      </c>
      <c r="C401" t="s">
        <v>66</v>
      </c>
      <c r="D401" t="s">
        <v>67</v>
      </c>
      <c r="E401" t="s">
        <v>68</v>
      </c>
      <c r="F401">
        <v>2</v>
      </c>
      <c r="G401">
        <v>1</v>
      </c>
      <c r="H401">
        <v>5</v>
      </c>
      <c r="I401" s="6">
        <v>420102004</v>
      </c>
      <c r="J401" t="s">
        <v>76</v>
      </c>
      <c r="K401">
        <f>2085982/1000</f>
        <v>2085.982</v>
      </c>
    </row>
    <row r="402" spans="1:11" x14ac:dyDescent="0.25">
      <c r="A402" t="s">
        <v>109</v>
      </c>
      <c r="B402" s="16">
        <v>1271538</v>
      </c>
      <c r="C402" t="s">
        <v>66</v>
      </c>
      <c r="D402" t="s">
        <v>67</v>
      </c>
      <c r="E402" t="s">
        <v>68</v>
      </c>
      <c r="F402">
        <v>2</v>
      </c>
      <c r="G402">
        <v>1</v>
      </c>
      <c r="H402">
        <v>5</v>
      </c>
      <c r="I402" s="6">
        <v>320101001</v>
      </c>
      <c r="J402" t="s">
        <v>72</v>
      </c>
      <c r="K402">
        <f>4349085/1000</f>
        <v>4349.085</v>
      </c>
    </row>
    <row r="403" spans="1:11" x14ac:dyDescent="0.25">
      <c r="A403" t="s">
        <v>109</v>
      </c>
      <c r="B403" s="16">
        <v>1271538</v>
      </c>
      <c r="C403" t="s">
        <v>66</v>
      </c>
      <c r="D403" t="s">
        <v>67</v>
      </c>
      <c r="E403" t="s">
        <v>68</v>
      </c>
      <c r="F403">
        <v>2</v>
      </c>
      <c r="G403">
        <v>1</v>
      </c>
      <c r="H403">
        <v>5</v>
      </c>
      <c r="I403" s="6">
        <v>420105001</v>
      </c>
      <c r="J403" t="s">
        <v>71</v>
      </c>
      <c r="K403">
        <f>6915457/1000</f>
        <v>6915.4570000000003</v>
      </c>
    </row>
    <row r="404" spans="1:11" x14ac:dyDescent="0.25">
      <c r="A404" t="s">
        <v>110</v>
      </c>
      <c r="B404" s="16">
        <v>1271538</v>
      </c>
      <c r="C404" t="s">
        <v>66</v>
      </c>
      <c r="D404" t="s">
        <v>67</v>
      </c>
      <c r="E404" t="s">
        <v>68</v>
      </c>
      <c r="F404">
        <v>1</v>
      </c>
      <c r="G404">
        <v>1</v>
      </c>
      <c r="H404">
        <v>4</v>
      </c>
      <c r="I404" s="6">
        <v>420201001</v>
      </c>
      <c r="J404" t="s">
        <v>70</v>
      </c>
      <c r="K404">
        <f>1551528/1000</f>
        <v>1551.528</v>
      </c>
    </row>
    <row r="405" spans="1:11" x14ac:dyDescent="0.25">
      <c r="A405" t="s">
        <v>110</v>
      </c>
      <c r="B405" s="16">
        <v>1271538</v>
      </c>
      <c r="C405" t="s">
        <v>66</v>
      </c>
      <c r="D405" t="s">
        <v>67</v>
      </c>
      <c r="E405" t="s">
        <v>68</v>
      </c>
      <c r="F405">
        <v>1</v>
      </c>
      <c r="G405">
        <v>1</v>
      </c>
      <c r="H405">
        <v>4</v>
      </c>
      <c r="I405" s="6">
        <v>420102004</v>
      </c>
      <c r="J405" t="s">
        <v>76</v>
      </c>
      <c r="K405">
        <f>1896736/1000</f>
        <v>1896.7360000000001</v>
      </c>
    </row>
    <row r="406" spans="1:11" x14ac:dyDescent="0.25">
      <c r="A406" t="s">
        <v>110</v>
      </c>
      <c r="B406" s="16">
        <v>1271538</v>
      </c>
      <c r="C406" t="s">
        <v>66</v>
      </c>
      <c r="D406" t="s">
        <v>67</v>
      </c>
      <c r="E406" t="s">
        <v>68</v>
      </c>
      <c r="F406">
        <v>1</v>
      </c>
      <c r="G406">
        <v>1</v>
      </c>
      <c r="H406">
        <v>4</v>
      </c>
      <c r="I406" s="6">
        <v>320101001</v>
      </c>
      <c r="J406" t="s">
        <v>72</v>
      </c>
      <c r="K406">
        <f>6239317/1000</f>
        <v>6239.317</v>
      </c>
    </row>
    <row r="407" spans="1:11" x14ac:dyDescent="0.25">
      <c r="A407" t="s">
        <v>110</v>
      </c>
      <c r="B407" s="16">
        <v>1271538</v>
      </c>
      <c r="C407" t="s">
        <v>66</v>
      </c>
      <c r="D407" t="s">
        <v>67</v>
      </c>
      <c r="E407" t="s">
        <v>68</v>
      </c>
      <c r="F407">
        <v>1</v>
      </c>
      <c r="G407">
        <v>1</v>
      </c>
      <c r="H407">
        <v>4</v>
      </c>
      <c r="I407" s="6">
        <v>420105001</v>
      </c>
      <c r="J407" t="s">
        <v>71</v>
      </c>
      <c r="K407">
        <f>1334410/1000</f>
        <v>1334.41</v>
      </c>
    </row>
    <row r="408" spans="1:11" x14ac:dyDescent="0.25">
      <c r="A408" t="s">
        <v>110</v>
      </c>
      <c r="B408" s="16">
        <v>1271538</v>
      </c>
      <c r="C408" t="s">
        <v>66</v>
      </c>
      <c r="D408" t="s">
        <v>67</v>
      </c>
      <c r="E408" t="s">
        <v>68</v>
      </c>
      <c r="F408">
        <v>1</v>
      </c>
      <c r="G408">
        <v>1</v>
      </c>
      <c r="H408">
        <v>1</v>
      </c>
      <c r="I408" s="6">
        <v>420105001</v>
      </c>
      <c r="J408" t="s">
        <v>71</v>
      </c>
      <c r="K408">
        <f>6932122/1000</f>
        <v>6932.1220000000003</v>
      </c>
    </row>
    <row r="409" spans="1:11" x14ac:dyDescent="0.25">
      <c r="A409" t="s">
        <v>110</v>
      </c>
      <c r="B409" s="16">
        <v>1271538</v>
      </c>
      <c r="C409" t="s">
        <v>66</v>
      </c>
      <c r="D409" t="s">
        <v>67</v>
      </c>
      <c r="E409" t="s">
        <v>68</v>
      </c>
      <c r="F409">
        <v>1</v>
      </c>
      <c r="G409">
        <v>1</v>
      </c>
      <c r="H409">
        <v>5</v>
      </c>
      <c r="I409" s="6">
        <v>420201001</v>
      </c>
      <c r="J409" t="s">
        <v>70</v>
      </c>
      <c r="K409">
        <f>3670935/1000</f>
        <v>3670.9349999999999</v>
      </c>
    </row>
    <row r="410" spans="1:11" x14ac:dyDescent="0.25">
      <c r="A410" t="s">
        <v>110</v>
      </c>
      <c r="B410" s="16">
        <v>1271539</v>
      </c>
      <c r="C410" t="s">
        <v>66</v>
      </c>
      <c r="D410" t="s">
        <v>67</v>
      </c>
      <c r="E410" t="s">
        <v>68</v>
      </c>
      <c r="F410">
        <v>1</v>
      </c>
      <c r="G410">
        <v>1</v>
      </c>
      <c r="H410">
        <v>5</v>
      </c>
      <c r="I410" s="6">
        <v>420102004</v>
      </c>
      <c r="J410" t="s">
        <v>76</v>
      </c>
      <c r="K410">
        <f>996728/1000</f>
        <v>996.72799999999995</v>
      </c>
    </row>
    <row r="411" spans="1:11" x14ac:dyDescent="0.25">
      <c r="A411" t="s">
        <v>110</v>
      </c>
      <c r="B411" s="16">
        <v>1271538</v>
      </c>
      <c r="C411" t="s">
        <v>66</v>
      </c>
      <c r="D411" t="s">
        <v>67</v>
      </c>
      <c r="E411" t="s">
        <v>68</v>
      </c>
      <c r="F411">
        <v>1</v>
      </c>
      <c r="G411">
        <v>1</v>
      </c>
      <c r="H411">
        <v>5</v>
      </c>
      <c r="I411" s="6">
        <v>420201001</v>
      </c>
      <c r="J411" t="s">
        <v>70</v>
      </c>
      <c r="K411">
        <f>5364521/1000</f>
        <v>5364.5209999999997</v>
      </c>
    </row>
    <row r="412" spans="1:11" x14ac:dyDescent="0.25">
      <c r="A412" t="s">
        <v>110</v>
      </c>
      <c r="B412" s="16">
        <v>1271538</v>
      </c>
      <c r="C412" t="s">
        <v>66</v>
      </c>
      <c r="D412" t="s">
        <v>67</v>
      </c>
      <c r="E412" t="s">
        <v>68</v>
      </c>
      <c r="F412">
        <v>2</v>
      </c>
      <c r="G412">
        <v>1</v>
      </c>
      <c r="H412">
        <v>5</v>
      </c>
      <c r="I412" s="6">
        <v>420102004</v>
      </c>
      <c r="J412" t="s">
        <v>76</v>
      </c>
      <c r="K412">
        <f>2318744/1000</f>
        <v>2318.7440000000001</v>
      </c>
    </row>
    <row r="413" spans="1:11" x14ac:dyDescent="0.25">
      <c r="A413" t="s">
        <v>110</v>
      </c>
      <c r="B413" s="16">
        <v>1271538</v>
      </c>
      <c r="C413" t="s">
        <v>66</v>
      </c>
      <c r="D413" t="s">
        <v>67</v>
      </c>
      <c r="E413" t="s">
        <v>68</v>
      </c>
      <c r="F413">
        <v>2</v>
      </c>
      <c r="G413">
        <v>1</v>
      </c>
      <c r="H413">
        <v>5</v>
      </c>
      <c r="I413" s="6">
        <v>320101001</v>
      </c>
      <c r="J413" t="s">
        <v>72</v>
      </c>
      <c r="K413">
        <f>6836115/1000</f>
        <v>6836.1149999999998</v>
      </c>
    </row>
    <row r="414" spans="1:11" x14ac:dyDescent="0.25">
      <c r="A414" t="s">
        <v>110</v>
      </c>
      <c r="B414" s="16">
        <v>1271538</v>
      </c>
      <c r="C414" t="s">
        <v>66</v>
      </c>
      <c r="D414" t="s">
        <v>67</v>
      </c>
      <c r="E414" t="s">
        <v>68</v>
      </c>
      <c r="F414">
        <v>2</v>
      </c>
      <c r="G414">
        <v>1</v>
      </c>
      <c r="H414">
        <v>5</v>
      </c>
      <c r="I414" s="6">
        <v>420105001</v>
      </c>
      <c r="J414" t="s">
        <v>71</v>
      </c>
      <c r="K414">
        <f>10650273/1000</f>
        <v>10650.272999999999</v>
      </c>
    </row>
    <row r="415" spans="1:11" x14ac:dyDescent="0.25">
      <c r="A415" t="s">
        <v>111</v>
      </c>
      <c r="B415" s="16">
        <v>1271538</v>
      </c>
      <c r="C415" t="s">
        <v>66</v>
      </c>
      <c r="D415" t="s">
        <v>67</v>
      </c>
      <c r="E415" t="s">
        <v>68</v>
      </c>
      <c r="F415">
        <v>1</v>
      </c>
      <c r="G415">
        <v>1</v>
      </c>
      <c r="H415">
        <v>4</v>
      </c>
      <c r="I415" s="6">
        <v>420201001</v>
      </c>
      <c r="J415" t="s">
        <v>70</v>
      </c>
      <c r="K415" s="18">
        <f>3002764/1000</f>
        <v>3002.7640000000001</v>
      </c>
    </row>
    <row r="416" spans="1:11" x14ac:dyDescent="0.25">
      <c r="A416" t="s">
        <v>111</v>
      </c>
      <c r="B416" s="16">
        <v>1271538</v>
      </c>
      <c r="C416" t="s">
        <v>66</v>
      </c>
      <c r="D416" t="s">
        <v>67</v>
      </c>
      <c r="E416" t="s">
        <v>68</v>
      </c>
      <c r="F416">
        <v>1</v>
      </c>
      <c r="G416">
        <v>1</v>
      </c>
      <c r="H416">
        <v>4</v>
      </c>
      <c r="I416" s="6">
        <v>420102004</v>
      </c>
      <c r="J416" t="s">
        <v>76</v>
      </c>
      <c r="K416" s="18">
        <f>665503/1000</f>
        <v>665.50300000000004</v>
      </c>
    </row>
    <row r="417" spans="1:11" x14ac:dyDescent="0.25">
      <c r="A417" t="s">
        <v>111</v>
      </c>
      <c r="B417" s="16">
        <v>1271538</v>
      </c>
      <c r="C417" t="s">
        <v>66</v>
      </c>
      <c r="D417" t="s">
        <v>67</v>
      </c>
      <c r="E417" t="s">
        <v>68</v>
      </c>
      <c r="F417">
        <v>1</v>
      </c>
      <c r="G417">
        <v>1</v>
      </c>
      <c r="H417">
        <v>4</v>
      </c>
      <c r="I417" s="6">
        <v>320101001</v>
      </c>
      <c r="J417" t="s">
        <v>72</v>
      </c>
      <c r="K417" s="18">
        <f>4977991/1000</f>
        <v>4977.991</v>
      </c>
    </row>
    <row r="418" spans="1:11" x14ac:dyDescent="0.25">
      <c r="A418" t="s">
        <v>111</v>
      </c>
      <c r="B418" s="16">
        <v>1271538</v>
      </c>
      <c r="C418" t="s">
        <v>66</v>
      </c>
      <c r="D418" t="s">
        <v>67</v>
      </c>
      <c r="E418" t="s">
        <v>68</v>
      </c>
      <c r="F418">
        <v>1</v>
      </c>
      <c r="G418">
        <v>1</v>
      </c>
      <c r="H418">
        <v>4</v>
      </c>
      <c r="I418" s="6">
        <v>420105001</v>
      </c>
      <c r="J418" t="s">
        <v>71</v>
      </c>
      <c r="K418" s="18">
        <f>3419885/1000</f>
        <v>3419.8850000000002</v>
      </c>
    </row>
    <row r="419" spans="1:11" x14ac:dyDescent="0.25">
      <c r="A419" t="s">
        <v>111</v>
      </c>
      <c r="B419" s="16">
        <v>1271538</v>
      </c>
      <c r="C419" t="s">
        <v>66</v>
      </c>
      <c r="D419" t="s">
        <v>67</v>
      </c>
      <c r="E419" t="s">
        <v>68</v>
      </c>
      <c r="F419">
        <v>1</v>
      </c>
      <c r="G419">
        <v>1</v>
      </c>
      <c r="H419">
        <v>1</v>
      </c>
      <c r="I419" s="6">
        <v>420105001</v>
      </c>
      <c r="J419" t="s">
        <v>71</v>
      </c>
      <c r="K419" s="18">
        <f>3140242/1000</f>
        <v>3140.2420000000002</v>
      </c>
    </row>
    <row r="420" spans="1:11" x14ac:dyDescent="0.25">
      <c r="A420" t="s">
        <v>111</v>
      </c>
      <c r="B420" s="16">
        <v>1271538</v>
      </c>
      <c r="C420" t="s">
        <v>66</v>
      </c>
      <c r="D420" t="s">
        <v>67</v>
      </c>
      <c r="E420" t="s">
        <v>68</v>
      </c>
      <c r="F420">
        <v>1</v>
      </c>
      <c r="G420">
        <v>1</v>
      </c>
      <c r="H420">
        <v>5</v>
      </c>
      <c r="I420" s="6">
        <v>420201001</v>
      </c>
      <c r="J420" t="s">
        <v>70</v>
      </c>
      <c r="K420" s="18">
        <f>2688187/1000</f>
        <v>2688.1869999999999</v>
      </c>
    </row>
    <row r="421" spans="1:11" x14ac:dyDescent="0.25">
      <c r="A421" t="s">
        <v>111</v>
      </c>
      <c r="B421" s="16">
        <v>1271539</v>
      </c>
      <c r="C421" t="s">
        <v>66</v>
      </c>
      <c r="D421" t="s">
        <v>67</v>
      </c>
      <c r="E421" t="s">
        <v>68</v>
      </c>
      <c r="F421">
        <v>1</v>
      </c>
      <c r="G421">
        <v>1</v>
      </c>
      <c r="H421">
        <v>5</v>
      </c>
      <c r="I421" s="6">
        <v>420102004</v>
      </c>
      <c r="J421" t="s">
        <v>76</v>
      </c>
      <c r="K421" s="18">
        <f>856967/1000</f>
        <v>856.96699999999998</v>
      </c>
    </row>
    <row r="422" spans="1:11" x14ac:dyDescent="0.25">
      <c r="A422" t="s">
        <v>111</v>
      </c>
      <c r="B422" s="16">
        <v>1271539</v>
      </c>
      <c r="C422" t="s">
        <v>66</v>
      </c>
      <c r="D422" t="s">
        <v>67</v>
      </c>
      <c r="E422" t="s">
        <v>68</v>
      </c>
      <c r="F422">
        <v>1</v>
      </c>
      <c r="G422">
        <v>1</v>
      </c>
      <c r="H422">
        <v>5</v>
      </c>
      <c r="I422" s="6">
        <v>320101001</v>
      </c>
      <c r="J422" t="s">
        <v>72</v>
      </c>
      <c r="K422" s="18">
        <f>748617/1000</f>
        <v>748.61699999999996</v>
      </c>
    </row>
    <row r="423" spans="1:11" x14ac:dyDescent="0.25">
      <c r="A423" t="s">
        <v>111</v>
      </c>
      <c r="B423" s="16">
        <v>1271538</v>
      </c>
      <c r="C423" t="s">
        <v>66</v>
      </c>
      <c r="D423" t="s">
        <v>67</v>
      </c>
      <c r="E423" t="s">
        <v>68</v>
      </c>
      <c r="F423">
        <v>1</v>
      </c>
      <c r="G423">
        <v>1</v>
      </c>
      <c r="H423">
        <v>5</v>
      </c>
      <c r="I423" s="6">
        <v>420105001</v>
      </c>
      <c r="J423" t="s">
        <v>71</v>
      </c>
      <c r="K423" s="18">
        <f>1503435/1000</f>
        <v>1503.4349999999999</v>
      </c>
    </row>
    <row r="424" spans="1:11" x14ac:dyDescent="0.25">
      <c r="A424" t="s">
        <v>111</v>
      </c>
      <c r="B424" s="16">
        <v>1271538</v>
      </c>
      <c r="C424" t="s">
        <v>66</v>
      </c>
      <c r="D424" t="s">
        <v>67</v>
      </c>
      <c r="E424" t="s">
        <v>68</v>
      </c>
      <c r="F424">
        <v>2</v>
      </c>
      <c r="G424">
        <v>1</v>
      </c>
      <c r="H424">
        <v>1</v>
      </c>
      <c r="I424" s="6">
        <v>420201001</v>
      </c>
      <c r="J424" t="s">
        <v>70</v>
      </c>
      <c r="K424" s="18">
        <f>4993912/1000</f>
        <v>4993.9120000000003</v>
      </c>
    </row>
    <row r="425" spans="1:11" x14ac:dyDescent="0.25">
      <c r="A425" t="s">
        <v>111</v>
      </c>
      <c r="B425" s="16">
        <v>1271538</v>
      </c>
      <c r="C425" t="s">
        <v>66</v>
      </c>
      <c r="D425" t="s">
        <v>67</v>
      </c>
      <c r="E425" t="s">
        <v>68</v>
      </c>
      <c r="F425">
        <v>2</v>
      </c>
      <c r="G425">
        <v>1</v>
      </c>
      <c r="H425">
        <v>5</v>
      </c>
      <c r="I425" s="6">
        <v>420102004</v>
      </c>
      <c r="J425" t="s">
        <v>76</v>
      </c>
      <c r="K425" s="18">
        <f>2760715/1000</f>
        <v>2760.7150000000001</v>
      </c>
    </row>
    <row r="426" spans="1:11" x14ac:dyDescent="0.25">
      <c r="A426" t="s">
        <v>111</v>
      </c>
      <c r="B426" s="16">
        <v>1271538</v>
      </c>
      <c r="C426" t="s">
        <v>66</v>
      </c>
      <c r="D426" t="s">
        <v>67</v>
      </c>
      <c r="E426" t="s">
        <v>68</v>
      </c>
      <c r="F426">
        <v>2</v>
      </c>
      <c r="G426">
        <v>1</v>
      </c>
      <c r="H426">
        <v>5</v>
      </c>
      <c r="I426" s="6">
        <v>320101001</v>
      </c>
      <c r="J426" t="s">
        <v>72</v>
      </c>
      <c r="K426" s="18">
        <f>5069479/1000</f>
        <v>5069.4790000000003</v>
      </c>
    </row>
    <row r="427" spans="1:11" x14ac:dyDescent="0.25">
      <c r="A427" t="s">
        <v>111</v>
      </c>
      <c r="B427" s="16">
        <v>1271538</v>
      </c>
      <c r="C427" t="s">
        <v>66</v>
      </c>
      <c r="D427" t="s">
        <v>67</v>
      </c>
      <c r="E427" t="s">
        <v>68</v>
      </c>
      <c r="F427">
        <v>2</v>
      </c>
      <c r="G427">
        <v>1</v>
      </c>
      <c r="H427">
        <v>5</v>
      </c>
      <c r="I427" s="6">
        <v>420105001</v>
      </c>
      <c r="J427" t="s">
        <v>71</v>
      </c>
      <c r="K427" s="18">
        <f>9655807/1000</f>
        <v>9655.8070000000007</v>
      </c>
    </row>
    <row r="428" spans="1:11" x14ac:dyDescent="0.25">
      <c r="A428" t="s">
        <v>112</v>
      </c>
      <c r="B428" s="16">
        <v>1271538</v>
      </c>
      <c r="C428" t="s">
        <v>66</v>
      </c>
      <c r="D428" t="s">
        <v>67</v>
      </c>
      <c r="E428" t="s">
        <v>68</v>
      </c>
      <c r="F428">
        <v>1</v>
      </c>
      <c r="G428">
        <v>1</v>
      </c>
      <c r="H428">
        <v>4</v>
      </c>
      <c r="I428" s="6">
        <v>420201001</v>
      </c>
      <c r="J428" t="s">
        <v>70</v>
      </c>
      <c r="K428">
        <f>2204514/1000</f>
        <v>2204.5140000000001</v>
      </c>
    </row>
    <row r="429" spans="1:11" x14ac:dyDescent="0.25">
      <c r="A429" t="s">
        <v>112</v>
      </c>
      <c r="B429" s="16">
        <v>1271538</v>
      </c>
      <c r="C429" t="s">
        <v>66</v>
      </c>
      <c r="D429" t="s">
        <v>67</v>
      </c>
      <c r="E429" t="s">
        <v>68</v>
      </c>
      <c r="F429">
        <v>1</v>
      </c>
      <c r="G429">
        <v>1</v>
      </c>
      <c r="H429">
        <v>4</v>
      </c>
      <c r="I429" s="6">
        <v>420102004</v>
      </c>
      <c r="J429" t="s">
        <v>76</v>
      </c>
      <c r="K429">
        <f>995801/1000</f>
        <v>995.80100000000004</v>
      </c>
    </row>
    <row r="430" spans="1:11" x14ac:dyDescent="0.25">
      <c r="A430" t="s">
        <v>112</v>
      </c>
      <c r="B430" s="16">
        <v>1271538</v>
      </c>
      <c r="C430" t="s">
        <v>66</v>
      </c>
      <c r="D430" t="s">
        <v>67</v>
      </c>
      <c r="E430" t="s">
        <v>68</v>
      </c>
      <c r="F430">
        <v>1</v>
      </c>
      <c r="G430">
        <v>1</v>
      </c>
      <c r="H430">
        <v>4</v>
      </c>
      <c r="I430" s="6">
        <v>320101001</v>
      </c>
      <c r="J430" t="s">
        <v>72</v>
      </c>
      <c r="K430">
        <f>6058360/1000</f>
        <v>6058.36</v>
      </c>
    </row>
    <row r="431" spans="1:11" x14ac:dyDescent="0.25">
      <c r="A431" t="s">
        <v>112</v>
      </c>
      <c r="B431" s="16">
        <v>1271538</v>
      </c>
      <c r="C431" t="s">
        <v>66</v>
      </c>
      <c r="D431" t="s">
        <v>67</v>
      </c>
      <c r="E431" t="s">
        <v>68</v>
      </c>
      <c r="F431">
        <v>1</v>
      </c>
      <c r="G431">
        <v>1</v>
      </c>
      <c r="H431">
        <v>4</v>
      </c>
      <c r="I431" s="6">
        <v>420105001</v>
      </c>
      <c r="J431" t="s">
        <v>71</v>
      </c>
      <c r="K431">
        <f>1981782/1000</f>
        <v>1981.7819999999999</v>
      </c>
    </row>
    <row r="432" spans="1:11" x14ac:dyDescent="0.25">
      <c r="A432" t="s">
        <v>112</v>
      </c>
      <c r="B432" s="16">
        <v>1271538</v>
      </c>
      <c r="C432" t="s">
        <v>66</v>
      </c>
      <c r="D432" t="s">
        <v>67</v>
      </c>
      <c r="E432" t="s">
        <v>68</v>
      </c>
      <c r="F432">
        <v>1</v>
      </c>
      <c r="G432">
        <v>1</v>
      </c>
      <c r="H432">
        <v>1</v>
      </c>
      <c r="I432" s="6">
        <v>420105001</v>
      </c>
      <c r="J432" t="s">
        <v>71</v>
      </c>
      <c r="K432">
        <f>1448654/1000</f>
        <v>1448.654</v>
      </c>
    </row>
    <row r="433" spans="1:11" x14ac:dyDescent="0.25">
      <c r="A433" t="s">
        <v>112</v>
      </c>
      <c r="B433" s="16">
        <v>1271538</v>
      </c>
      <c r="C433" t="s">
        <v>66</v>
      </c>
      <c r="D433" t="s">
        <v>67</v>
      </c>
      <c r="E433" t="s">
        <v>68</v>
      </c>
      <c r="F433">
        <v>1</v>
      </c>
      <c r="G433">
        <v>1</v>
      </c>
      <c r="H433">
        <v>5</v>
      </c>
      <c r="I433" s="6">
        <v>420201001</v>
      </c>
      <c r="J433" t="s">
        <v>70</v>
      </c>
      <c r="K433">
        <f>3207911/1000</f>
        <v>3207.9110000000001</v>
      </c>
    </row>
    <row r="434" spans="1:11" x14ac:dyDescent="0.25">
      <c r="A434" t="s">
        <v>112</v>
      </c>
      <c r="B434" s="16">
        <v>1271539</v>
      </c>
      <c r="C434" t="s">
        <v>66</v>
      </c>
      <c r="D434" t="s">
        <v>67</v>
      </c>
      <c r="E434" t="s">
        <v>68</v>
      </c>
      <c r="F434">
        <v>1</v>
      </c>
      <c r="G434">
        <v>1</v>
      </c>
      <c r="H434">
        <v>5</v>
      </c>
      <c r="I434" s="6">
        <v>420102004</v>
      </c>
      <c r="J434" t="s">
        <v>76</v>
      </c>
      <c r="K434">
        <f>1654060/1000</f>
        <v>1654.06</v>
      </c>
    </row>
    <row r="435" spans="1:11" x14ac:dyDescent="0.25">
      <c r="A435" t="s">
        <v>112</v>
      </c>
      <c r="B435" s="16">
        <v>1271539</v>
      </c>
      <c r="C435" t="s">
        <v>66</v>
      </c>
      <c r="D435" t="s">
        <v>67</v>
      </c>
      <c r="E435" t="s">
        <v>68</v>
      </c>
      <c r="F435">
        <v>1</v>
      </c>
      <c r="G435">
        <v>1</v>
      </c>
      <c r="H435">
        <v>5</v>
      </c>
      <c r="I435" s="6">
        <v>320101001</v>
      </c>
      <c r="J435" t="s">
        <v>72</v>
      </c>
      <c r="K435">
        <f>1241381/1000</f>
        <v>1241.3810000000001</v>
      </c>
    </row>
    <row r="436" spans="1:11" x14ac:dyDescent="0.25">
      <c r="A436" t="s">
        <v>112</v>
      </c>
      <c r="B436" s="16">
        <v>1271538</v>
      </c>
      <c r="C436" t="s">
        <v>66</v>
      </c>
      <c r="D436" t="s">
        <v>67</v>
      </c>
      <c r="E436" t="s">
        <v>68</v>
      </c>
      <c r="F436">
        <v>1</v>
      </c>
      <c r="G436">
        <v>1</v>
      </c>
      <c r="H436">
        <v>5</v>
      </c>
      <c r="I436" s="6">
        <v>420105001</v>
      </c>
      <c r="J436" t="s">
        <v>71</v>
      </c>
      <c r="K436">
        <f>2390330/1000</f>
        <v>2390.33</v>
      </c>
    </row>
    <row r="437" spans="1:11" x14ac:dyDescent="0.25">
      <c r="A437" t="s">
        <v>112</v>
      </c>
      <c r="B437" s="16">
        <v>1271538</v>
      </c>
      <c r="C437" t="s">
        <v>66</v>
      </c>
      <c r="D437" t="s">
        <v>67</v>
      </c>
      <c r="E437" t="s">
        <v>68</v>
      </c>
      <c r="F437">
        <v>2</v>
      </c>
      <c r="G437">
        <v>1</v>
      </c>
      <c r="H437">
        <v>1</v>
      </c>
      <c r="I437" s="6">
        <v>420201001</v>
      </c>
      <c r="J437" t="s">
        <v>70</v>
      </c>
      <c r="K437">
        <f>5161059/1000</f>
        <v>5161.0590000000002</v>
      </c>
    </row>
    <row r="438" spans="1:11" x14ac:dyDescent="0.25">
      <c r="A438" t="s">
        <v>112</v>
      </c>
      <c r="B438" s="16">
        <v>1271538</v>
      </c>
      <c r="C438" t="s">
        <v>66</v>
      </c>
      <c r="D438" t="s">
        <v>67</v>
      </c>
      <c r="E438" t="s">
        <v>68</v>
      </c>
      <c r="F438">
        <v>2</v>
      </c>
      <c r="G438">
        <v>1</v>
      </c>
      <c r="H438">
        <v>5</v>
      </c>
      <c r="I438" s="6">
        <v>420102004</v>
      </c>
      <c r="J438" t="s">
        <v>76</v>
      </c>
      <c r="K438">
        <f>2214114/1000</f>
        <v>2214.114</v>
      </c>
    </row>
    <row r="439" spans="1:11" x14ac:dyDescent="0.25">
      <c r="A439" t="s">
        <v>112</v>
      </c>
      <c r="B439" s="16">
        <v>1271538</v>
      </c>
      <c r="C439" t="s">
        <v>66</v>
      </c>
      <c r="D439" t="s">
        <v>67</v>
      </c>
      <c r="E439" t="s">
        <v>68</v>
      </c>
      <c r="F439">
        <v>2</v>
      </c>
      <c r="G439">
        <v>1</v>
      </c>
      <c r="H439">
        <v>5</v>
      </c>
      <c r="I439" s="6">
        <v>320101001</v>
      </c>
      <c r="J439" t="s">
        <v>72</v>
      </c>
      <c r="K439">
        <f>5657278/1000</f>
        <v>5657.2780000000002</v>
      </c>
    </row>
    <row r="440" spans="1:11" x14ac:dyDescent="0.25">
      <c r="A440" t="s">
        <v>112</v>
      </c>
      <c r="B440" s="16">
        <v>1271538</v>
      </c>
      <c r="C440" t="s">
        <v>66</v>
      </c>
      <c r="D440" t="s">
        <v>67</v>
      </c>
      <c r="E440" t="s">
        <v>68</v>
      </c>
      <c r="F440">
        <v>2</v>
      </c>
      <c r="G440">
        <v>1</v>
      </c>
      <c r="H440">
        <v>5</v>
      </c>
      <c r="I440" s="6">
        <v>420105001</v>
      </c>
      <c r="J440" t="s">
        <v>71</v>
      </c>
      <c r="K440">
        <f>5742995/1000</f>
        <v>5742.9949999999999</v>
      </c>
    </row>
    <row r="441" spans="1:11" x14ac:dyDescent="0.25">
      <c r="A441" t="s">
        <v>113</v>
      </c>
      <c r="B441" s="16">
        <v>1271538</v>
      </c>
      <c r="C441" t="s">
        <v>66</v>
      </c>
      <c r="D441" t="s">
        <v>67</v>
      </c>
      <c r="E441" t="s">
        <v>68</v>
      </c>
      <c r="F441">
        <v>1</v>
      </c>
      <c r="G441">
        <v>1</v>
      </c>
      <c r="H441">
        <v>4</v>
      </c>
      <c r="I441" s="6">
        <v>420201001</v>
      </c>
      <c r="J441" t="s">
        <v>70</v>
      </c>
      <c r="K441">
        <f>1553680/1000</f>
        <v>1553.68</v>
      </c>
    </row>
    <row r="442" spans="1:11" x14ac:dyDescent="0.25">
      <c r="A442" t="s">
        <v>113</v>
      </c>
      <c r="B442" s="16">
        <v>1271538</v>
      </c>
      <c r="C442" t="s">
        <v>66</v>
      </c>
      <c r="D442" t="s">
        <v>67</v>
      </c>
      <c r="E442" t="s">
        <v>68</v>
      </c>
      <c r="F442">
        <v>1</v>
      </c>
      <c r="G442">
        <v>1</v>
      </c>
      <c r="H442">
        <v>4</v>
      </c>
      <c r="I442" s="6">
        <v>420102004</v>
      </c>
      <c r="J442" t="s">
        <v>76</v>
      </c>
      <c r="K442">
        <f>2158676/1000</f>
        <v>2158.6759999999999</v>
      </c>
    </row>
    <row r="443" spans="1:11" x14ac:dyDescent="0.25">
      <c r="A443" t="s">
        <v>113</v>
      </c>
      <c r="B443" s="16">
        <v>1271538</v>
      </c>
      <c r="C443" t="s">
        <v>66</v>
      </c>
      <c r="D443" t="s">
        <v>67</v>
      </c>
      <c r="E443" t="s">
        <v>68</v>
      </c>
      <c r="F443">
        <v>1</v>
      </c>
      <c r="G443">
        <v>1</v>
      </c>
      <c r="H443">
        <v>4</v>
      </c>
      <c r="I443" s="6">
        <v>320101001</v>
      </c>
      <c r="J443" t="s">
        <v>72</v>
      </c>
      <c r="K443">
        <f>4106644/1000</f>
        <v>4106.6440000000002</v>
      </c>
    </row>
    <row r="444" spans="1:11" x14ac:dyDescent="0.25">
      <c r="A444" t="s">
        <v>113</v>
      </c>
      <c r="B444" s="16">
        <v>1271538</v>
      </c>
      <c r="C444" t="s">
        <v>66</v>
      </c>
      <c r="D444" t="s">
        <v>67</v>
      </c>
      <c r="E444" t="s">
        <v>68</v>
      </c>
      <c r="F444">
        <v>1</v>
      </c>
      <c r="G444">
        <v>1</v>
      </c>
      <c r="H444">
        <v>4</v>
      </c>
      <c r="I444" s="6">
        <v>420105001</v>
      </c>
      <c r="J444" t="s">
        <v>71</v>
      </c>
      <c r="K444">
        <f>2826805/1000</f>
        <v>2826.8049999999998</v>
      </c>
    </row>
    <row r="445" spans="1:11" x14ac:dyDescent="0.25">
      <c r="A445" t="s">
        <v>113</v>
      </c>
      <c r="B445" s="16">
        <v>1271538</v>
      </c>
      <c r="C445" t="s">
        <v>66</v>
      </c>
      <c r="D445" t="s">
        <v>67</v>
      </c>
      <c r="E445" t="s">
        <v>68</v>
      </c>
      <c r="F445">
        <v>1</v>
      </c>
      <c r="G445">
        <v>1</v>
      </c>
      <c r="H445">
        <v>1</v>
      </c>
      <c r="I445" s="6">
        <v>420105001</v>
      </c>
      <c r="J445" t="s">
        <v>71</v>
      </c>
      <c r="K445">
        <f>94454/1000</f>
        <v>94.453999999999994</v>
      </c>
    </row>
    <row r="446" spans="1:11" x14ac:dyDescent="0.25">
      <c r="A446" t="s">
        <v>113</v>
      </c>
      <c r="B446" s="16">
        <v>1271538</v>
      </c>
      <c r="C446" t="s">
        <v>66</v>
      </c>
      <c r="D446" t="s">
        <v>67</v>
      </c>
      <c r="E446" t="s">
        <v>68</v>
      </c>
      <c r="F446">
        <v>1</v>
      </c>
      <c r="G446">
        <v>1</v>
      </c>
      <c r="H446">
        <v>5</v>
      </c>
      <c r="I446" s="6">
        <v>420201001</v>
      </c>
      <c r="J446" t="s">
        <v>70</v>
      </c>
      <c r="K446">
        <f>2559275/1000</f>
        <v>2559.2750000000001</v>
      </c>
    </row>
    <row r="447" spans="1:11" x14ac:dyDescent="0.25">
      <c r="A447" t="s">
        <v>113</v>
      </c>
      <c r="B447" s="16">
        <v>1271539</v>
      </c>
      <c r="C447" t="s">
        <v>66</v>
      </c>
      <c r="D447" t="s">
        <v>67</v>
      </c>
      <c r="E447" t="s">
        <v>68</v>
      </c>
      <c r="F447">
        <v>1</v>
      </c>
      <c r="G447">
        <v>1</v>
      </c>
      <c r="H447">
        <v>5</v>
      </c>
      <c r="I447" s="6">
        <v>420102004</v>
      </c>
      <c r="J447" t="s">
        <v>76</v>
      </c>
      <c r="K447">
        <f>298778/1000</f>
        <v>298.77800000000002</v>
      </c>
    </row>
    <row r="448" spans="1:11" x14ac:dyDescent="0.25">
      <c r="A448" t="s">
        <v>113</v>
      </c>
      <c r="B448" s="16">
        <v>1271539</v>
      </c>
      <c r="C448" t="s">
        <v>66</v>
      </c>
      <c r="D448" t="s">
        <v>67</v>
      </c>
      <c r="E448" t="s">
        <v>68</v>
      </c>
      <c r="F448">
        <v>1</v>
      </c>
      <c r="G448">
        <v>1</v>
      </c>
      <c r="H448">
        <v>5</v>
      </c>
      <c r="I448" s="6">
        <v>320101001</v>
      </c>
      <c r="J448" t="s">
        <v>72</v>
      </c>
      <c r="K448">
        <f>400794/1000</f>
        <v>400.79399999999998</v>
      </c>
    </row>
    <row r="449" spans="1:11" x14ac:dyDescent="0.25">
      <c r="A449" t="s">
        <v>113</v>
      </c>
      <c r="B449" s="16">
        <v>1271538</v>
      </c>
      <c r="C449" t="s">
        <v>66</v>
      </c>
      <c r="D449" t="s">
        <v>67</v>
      </c>
      <c r="E449" t="s">
        <v>68</v>
      </c>
      <c r="F449">
        <v>1</v>
      </c>
      <c r="G449">
        <v>1</v>
      </c>
      <c r="H449">
        <v>5</v>
      </c>
      <c r="I449" s="6">
        <v>420105001</v>
      </c>
      <c r="J449" t="s">
        <v>71</v>
      </c>
      <c r="K449">
        <f>2638002/1000</f>
        <v>2638.002</v>
      </c>
    </row>
    <row r="450" spans="1:11" x14ac:dyDescent="0.25">
      <c r="A450" t="s">
        <v>113</v>
      </c>
      <c r="B450" s="16">
        <v>1271538</v>
      </c>
      <c r="C450" t="s">
        <v>66</v>
      </c>
      <c r="D450" t="s">
        <v>67</v>
      </c>
      <c r="E450" t="s">
        <v>68</v>
      </c>
      <c r="F450">
        <v>2</v>
      </c>
      <c r="G450">
        <v>1</v>
      </c>
      <c r="H450">
        <v>1</v>
      </c>
      <c r="I450" s="6">
        <v>420201001</v>
      </c>
      <c r="J450" t="s">
        <v>70</v>
      </c>
      <c r="K450">
        <f>5583328/1000</f>
        <v>5583.3280000000004</v>
      </c>
    </row>
    <row r="451" spans="1:11" x14ac:dyDescent="0.25">
      <c r="A451" t="s">
        <v>113</v>
      </c>
      <c r="B451" s="16">
        <v>1271538</v>
      </c>
      <c r="C451" t="s">
        <v>66</v>
      </c>
      <c r="D451" t="s">
        <v>67</v>
      </c>
      <c r="E451" t="s">
        <v>68</v>
      </c>
      <c r="F451">
        <v>2</v>
      </c>
      <c r="G451">
        <v>1</v>
      </c>
      <c r="H451">
        <v>5</v>
      </c>
      <c r="I451" s="6">
        <v>420102004</v>
      </c>
      <c r="J451" t="s">
        <v>76</v>
      </c>
      <c r="K451">
        <f>2872068/1000</f>
        <v>2872.0680000000002</v>
      </c>
    </row>
    <row r="452" spans="1:11" x14ac:dyDescent="0.25">
      <c r="A452" t="s">
        <v>113</v>
      </c>
      <c r="B452" s="16">
        <v>1271538</v>
      </c>
      <c r="C452" t="s">
        <v>66</v>
      </c>
      <c r="D452" t="s">
        <v>67</v>
      </c>
      <c r="E452" t="s">
        <v>68</v>
      </c>
      <c r="F452">
        <v>2</v>
      </c>
      <c r="G452">
        <v>1</v>
      </c>
      <c r="H452">
        <v>5</v>
      </c>
      <c r="I452" s="6">
        <v>320101001</v>
      </c>
      <c r="J452" t="s">
        <v>72</v>
      </c>
      <c r="K452">
        <f>4861798/1000</f>
        <v>4861.7979999999998</v>
      </c>
    </row>
    <row r="453" spans="1:11" x14ac:dyDescent="0.25">
      <c r="A453" t="s">
        <v>113</v>
      </c>
      <c r="B453" s="16">
        <v>1271538</v>
      </c>
      <c r="C453" t="s">
        <v>66</v>
      </c>
      <c r="D453" t="s">
        <v>67</v>
      </c>
      <c r="E453" t="s">
        <v>68</v>
      </c>
      <c r="F453">
        <v>2</v>
      </c>
      <c r="G453">
        <v>1</v>
      </c>
      <c r="H453">
        <v>5</v>
      </c>
      <c r="I453" s="6">
        <v>420105001</v>
      </c>
      <c r="J453" t="s">
        <v>71</v>
      </c>
      <c r="K453">
        <f>3044810/1000</f>
        <v>3044.81</v>
      </c>
    </row>
    <row r="454" spans="1:11" x14ac:dyDescent="0.25">
      <c r="A454" t="s">
        <v>114</v>
      </c>
      <c r="B454" s="16">
        <v>1271538</v>
      </c>
      <c r="C454" t="s">
        <v>66</v>
      </c>
      <c r="D454" t="s">
        <v>67</v>
      </c>
      <c r="E454" t="s">
        <v>68</v>
      </c>
      <c r="F454">
        <v>1</v>
      </c>
      <c r="G454">
        <v>1</v>
      </c>
      <c r="H454">
        <v>4</v>
      </c>
      <c r="I454" s="6">
        <v>420201001</v>
      </c>
      <c r="J454" t="s">
        <v>70</v>
      </c>
      <c r="K454">
        <f>1526358/1000</f>
        <v>1526.3579999999999</v>
      </c>
    </row>
    <row r="455" spans="1:11" x14ac:dyDescent="0.25">
      <c r="A455" t="s">
        <v>114</v>
      </c>
      <c r="B455" s="16">
        <v>1271538</v>
      </c>
      <c r="C455" t="s">
        <v>66</v>
      </c>
      <c r="D455" t="s">
        <v>67</v>
      </c>
      <c r="E455" t="s">
        <v>68</v>
      </c>
      <c r="F455">
        <v>1</v>
      </c>
      <c r="G455">
        <v>1</v>
      </c>
      <c r="H455">
        <v>4</v>
      </c>
      <c r="I455" s="6">
        <v>420102004</v>
      </c>
      <c r="J455" t="s">
        <v>76</v>
      </c>
      <c r="K455">
        <f>2050541/1000</f>
        <v>2050.5410000000002</v>
      </c>
    </row>
    <row r="456" spans="1:11" x14ac:dyDescent="0.25">
      <c r="A456" t="s">
        <v>114</v>
      </c>
      <c r="B456" s="16">
        <v>1271538</v>
      </c>
      <c r="C456" t="s">
        <v>66</v>
      </c>
      <c r="D456" t="s">
        <v>67</v>
      </c>
      <c r="E456" t="s">
        <v>68</v>
      </c>
      <c r="F456">
        <v>1</v>
      </c>
      <c r="G456">
        <v>1</v>
      </c>
      <c r="H456">
        <v>4</v>
      </c>
      <c r="I456" s="6">
        <v>320101001</v>
      </c>
      <c r="J456" t="s">
        <v>72</v>
      </c>
      <c r="K456">
        <f>5497137/1000</f>
        <v>5497.1369999999997</v>
      </c>
    </row>
    <row r="457" spans="1:11" x14ac:dyDescent="0.25">
      <c r="A457" t="s">
        <v>114</v>
      </c>
      <c r="B457" s="16">
        <v>1271538</v>
      </c>
      <c r="C457" t="s">
        <v>66</v>
      </c>
      <c r="D457" t="s">
        <v>67</v>
      </c>
      <c r="E457" t="s">
        <v>68</v>
      </c>
      <c r="F457">
        <v>1</v>
      </c>
      <c r="G457">
        <v>1</v>
      </c>
      <c r="H457">
        <v>4</v>
      </c>
      <c r="I457" s="6">
        <v>420105001</v>
      </c>
      <c r="J457" t="s">
        <v>71</v>
      </c>
      <c r="K457">
        <f>1050953/1000</f>
        <v>1050.953</v>
      </c>
    </row>
    <row r="458" spans="1:11" x14ac:dyDescent="0.25">
      <c r="A458" t="s">
        <v>114</v>
      </c>
      <c r="B458" s="16">
        <v>1271538</v>
      </c>
      <c r="C458" t="s">
        <v>66</v>
      </c>
      <c r="D458" t="s">
        <v>67</v>
      </c>
      <c r="E458" t="s">
        <v>68</v>
      </c>
      <c r="F458">
        <v>1</v>
      </c>
      <c r="G458">
        <v>1</v>
      </c>
      <c r="H458">
        <v>1</v>
      </c>
      <c r="I458" s="6">
        <v>420105001</v>
      </c>
      <c r="J458" t="s">
        <v>71</v>
      </c>
      <c r="K458">
        <f>3332869/1000</f>
        <v>3332.8690000000001</v>
      </c>
    </row>
    <row r="459" spans="1:11" x14ac:dyDescent="0.25">
      <c r="A459" t="s">
        <v>114</v>
      </c>
      <c r="B459" s="16">
        <v>1271538</v>
      </c>
      <c r="C459" t="s">
        <v>66</v>
      </c>
      <c r="D459" t="s">
        <v>67</v>
      </c>
      <c r="E459" t="s">
        <v>68</v>
      </c>
      <c r="F459">
        <v>1</v>
      </c>
      <c r="G459">
        <v>1</v>
      </c>
      <c r="H459">
        <v>5</v>
      </c>
      <c r="I459" s="6">
        <v>420201001</v>
      </c>
      <c r="J459" t="s">
        <v>70</v>
      </c>
      <c r="K459">
        <f>3063843/1000</f>
        <v>3063.8429999999998</v>
      </c>
    </row>
    <row r="460" spans="1:11" x14ac:dyDescent="0.25">
      <c r="A460" t="s">
        <v>114</v>
      </c>
      <c r="B460" s="16">
        <v>1271539</v>
      </c>
      <c r="C460" t="s">
        <v>66</v>
      </c>
      <c r="D460" t="s">
        <v>67</v>
      </c>
      <c r="E460" t="s">
        <v>68</v>
      </c>
      <c r="F460">
        <v>1</v>
      </c>
      <c r="G460">
        <v>1</v>
      </c>
      <c r="H460">
        <v>5</v>
      </c>
      <c r="I460" s="6">
        <v>320101001</v>
      </c>
      <c r="J460" t="s">
        <v>72</v>
      </c>
      <c r="K460">
        <f>2053933/1000</f>
        <v>2053.933</v>
      </c>
    </row>
    <row r="461" spans="1:11" x14ac:dyDescent="0.25">
      <c r="A461" t="s">
        <v>114</v>
      </c>
      <c r="B461" s="16">
        <v>1271538</v>
      </c>
      <c r="C461" t="s">
        <v>66</v>
      </c>
      <c r="D461" t="s">
        <v>67</v>
      </c>
      <c r="E461" t="s">
        <v>68</v>
      </c>
      <c r="F461">
        <v>1</v>
      </c>
      <c r="G461">
        <v>1</v>
      </c>
      <c r="H461">
        <v>5</v>
      </c>
      <c r="I461" s="6">
        <v>420105001</v>
      </c>
      <c r="J461" t="s">
        <v>71</v>
      </c>
      <c r="K461">
        <f>1227530/1000</f>
        <v>1227.53</v>
      </c>
    </row>
    <row r="462" spans="1:11" x14ac:dyDescent="0.25">
      <c r="A462" t="s">
        <v>114</v>
      </c>
      <c r="B462" s="16">
        <v>1271538</v>
      </c>
      <c r="C462" t="s">
        <v>66</v>
      </c>
      <c r="D462" t="s">
        <v>67</v>
      </c>
      <c r="E462" t="s">
        <v>68</v>
      </c>
      <c r="F462">
        <v>2</v>
      </c>
      <c r="G462">
        <v>1</v>
      </c>
      <c r="H462">
        <v>1</v>
      </c>
      <c r="I462" s="6">
        <v>420201001</v>
      </c>
      <c r="J462" t="s">
        <v>70</v>
      </c>
      <c r="K462">
        <f>4197178/1000</f>
        <v>4197.1779999999999</v>
      </c>
    </row>
    <row r="463" spans="1:11" x14ac:dyDescent="0.25">
      <c r="A463" t="s">
        <v>114</v>
      </c>
      <c r="B463" s="16">
        <v>1271538</v>
      </c>
      <c r="C463" t="s">
        <v>66</v>
      </c>
      <c r="D463" t="s">
        <v>67</v>
      </c>
      <c r="E463" t="s">
        <v>68</v>
      </c>
      <c r="F463">
        <v>2</v>
      </c>
      <c r="G463">
        <v>1</v>
      </c>
      <c r="H463">
        <v>5</v>
      </c>
      <c r="I463" s="6">
        <v>420102004</v>
      </c>
      <c r="J463" t="s">
        <v>76</v>
      </c>
      <c r="K463">
        <f>2196525/1000</f>
        <v>2196.5250000000001</v>
      </c>
    </row>
    <row r="464" spans="1:11" x14ac:dyDescent="0.25">
      <c r="A464" t="s">
        <v>114</v>
      </c>
      <c r="B464" s="16">
        <v>1271538</v>
      </c>
      <c r="C464" t="s">
        <v>66</v>
      </c>
      <c r="D464" t="s">
        <v>67</v>
      </c>
      <c r="E464" t="s">
        <v>68</v>
      </c>
      <c r="F464">
        <v>2</v>
      </c>
      <c r="G464">
        <v>1</v>
      </c>
      <c r="H464">
        <v>5</v>
      </c>
      <c r="I464" s="6">
        <v>320101001</v>
      </c>
      <c r="J464" t="s">
        <v>72</v>
      </c>
      <c r="K464">
        <f>6441220/1000</f>
        <v>6441.22</v>
      </c>
    </row>
    <row r="465" spans="1:11" x14ac:dyDescent="0.25">
      <c r="A465" t="s">
        <v>114</v>
      </c>
      <c r="B465" s="16">
        <v>1271538</v>
      </c>
      <c r="C465" t="s">
        <v>66</v>
      </c>
      <c r="D465" t="s">
        <v>67</v>
      </c>
      <c r="E465" t="s">
        <v>68</v>
      </c>
      <c r="F465">
        <v>2</v>
      </c>
      <c r="G465">
        <v>1</v>
      </c>
      <c r="H465">
        <v>5</v>
      </c>
      <c r="I465" s="6">
        <v>420105001</v>
      </c>
      <c r="J465" t="s">
        <v>71</v>
      </c>
      <c r="K465">
        <f>6763198/1000</f>
        <v>6763.1980000000003</v>
      </c>
    </row>
    <row r="466" spans="1:11" x14ac:dyDescent="0.25">
      <c r="A466" t="s">
        <v>115</v>
      </c>
      <c r="B466" s="16">
        <v>1271538</v>
      </c>
      <c r="C466" t="s">
        <v>66</v>
      </c>
      <c r="D466" t="s">
        <v>67</v>
      </c>
      <c r="E466" t="s">
        <v>68</v>
      </c>
      <c r="F466">
        <v>1</v>
      </c>
      <c r="G466">
        <v>1</v>
      </c>
      <c r="H466">
        <v>4</v>
      </c>
      <c r="I466" s="6">
        <v>420201001</v>
      </c>
      <c r="J466" t="s">
        <v>70</v>
      </c>
      <c r="K466">
        <f>2227170/1000</f>
        <v>2227.17</v>
      </c>
    </row>
    <row r="467" spans="1:11" x14ac:dyDescent="0.25">
      <c r="A467" t="s">
        <v>115</v>
      </c>
      <c r="B467" s="16">
        <v>1271538</v>
      </c>
      <c r="C467" t="s">
        <v>66</v>
      </c>
      <c r="D467" t="s">
        <v>67</v>
      </c>
      <c r="E467" t="s">
        <v>68</v>
      </c>
      <c r="F467">
        <v>1</v>
      </c>
      <c r="G467">
        <v>1</v>
      </c>
      <c r="H467">
        <v>4</v>
      </c>
      <c r="I467" s="6">
        <v>420102004</v>
      </c>
      <c r="J467" t="s">
        <v>76</v>
      </c>
      <c r="K467">
        <f>602019/1000</f>
        <v>602.01900000000001</v>
      </c>
    </row>
    <row r="468" spans="1:11" x14ac:dyDescent="0.25">
      <c r="A468" t="s">
        <v>115</v>
      </c>
      <c r="B468" s="16">
        <v>1271538</v>
      </c>
      <c r="C468" t="s">
        <v>66</v>
      </c>
      <c r="D468" t="s">
        <v>67</v>
      </c>
      <c r="E468" t="s">
        <v>68</v>
      </c>
      <c r="F468">
        <v>1</v>
      </c>
      <c r="G468">
        <v>1</v>
      </c>
      <c r="H468">
        <v>4</v>
      </c>
      <c r="I468" s="6">
        <v>320101001</v>
      </c>
      <c r="J468" t="s">
        <v>72</v>
      </c>
      <c r="K468">
        <f>6005431/1000</f>
        <v>6005.4309999999996</v>
      </c>
    </row>
    <row r="469" spans="1:11" x14ac:dyDescent="0.25">
      <c r="A469" t="s">
        <v>115</v>
      </c>
      <c r="B469" s="16">
        <v>1271538</v>
      </c>
      <c r="C469" t="s">
        <v>66</v>
      </c>
      <c r="D469" t="s">
        <v>67</v>
      </c>
      <c r="E469" t="s">
        <v>68</v>
      </c>
      <c r="F469">
        <v>1</v>
      </c>
      <c r="G469">
        <v>1</v>
      </c>
      <c r="H469">
        <v>4</v>
      </c>
      <c r="I469" s="6">
        <v>420105001</v>
      </c>
      <c r="J469" t="s">
        <v>71</v>
      </c>
      <c r="K469">
        <f>8656651/1000</f>
        <v>8656.6509999999998</v>
      </c>
    </row>
    <row r="470" spans="1:11" x14ac:dyDescent="0.25">
      <c r="A470" t="s">
        <v>115</v>
      </c>
      <c r="B470" s="16">
        <v>1271538</v>
      </c>
      <c r="C470" t="s">
        <v>66</v>
      </c>
      <c r="D470" t="s">
        <v>67</v>
      </c>
      <c r="E470" t="s">
        <v>68</v>
      </c>
      <c r="F470">
        <v>1</v>
      </c>
      <c r="G470">
        <v>1</v>
      </c>
      <c r="H470">
        <v>1</v>
      </c>
      <c r="I470" s="6">
        <v>420105001</v>
      </c>
      <c r="J470" t="s">
        <v>71</v>
      </c>
      <c r="K470">
        <f>2913607/1000</f>
        <v>2913.607</v>
      </c>
    </row>
    <row r="471" spans="1:11" x14ac:dyDescent="0.25">
      <c r="A471" t="s">
        <v>115</v>
      </c>
      <c r="B471" s="16">
        <v>1271538</v>
      </c>
      <c r="C471" t="s">
        <v>66</v>
      </c>
      <c r="D471" t="s">
        <v>67</v>
      </c>
      <c r="E471" t="s">
        <v>68</v>
      </c>
      <c r="F471">
        <v>1</v>
      </c>
      <c r="G471">
        <v>1</v>
      </c>
      <c r="H471">
        <v>5</v>
      </c>
      <c r="I471" s="6">
        <v>420201001</v>
      </c>
      <c r="J471" t="s">
        <v>70</v>
      </c>
      <c r="K471">
        <f>2564213/1000</f>
        <v>2564.2130000000002</v>
      </c>
    </row>
    <row r="472" spans="1:11" x14ac:dyDescent="0.25">
      <c r="A472" t="s">
        <v>115</v>
      </c>
      <c r="B472" s="16">
        <v>1271538</v>
      </c>
      <c r="C472" t="s">
        <v>66</v>
      </c>
      <c r="D472" t="s">
        <v>67</v>
      </c>
      <c r="E472" t="s">
        <v>68</v>
      </c>
      <c r="F472">
        <v>2</v>
      </c>
      <c r="G472">
        <v>1</v>
      </c>
      <c r="H472">
        <v>1</v>
      </c>
      <c r="I472" s="6">
        <v>420201001</v>
      </c>
      <c r="J472" t="s">
        <v>70</v>
      </c>
      <c r="K472">
        <f>5199956/1000</f>
        <v>5199.9560000000001</v>
      </c>
    </row>
    <row r="473" spans="1:11" x14ac:dyDescent="0.25">
      <c r="A473" t="s">
        <v>115</v>
      </c>
      <c r="B473" s="16">
        <v>1271538</v>
      </c>
      <c r="C473" t="s">
        <v>66</v>
      </c>
      <c r="D473" t="s">
        <v>67</v>
      </c>
      <c r="E473" t="s">
        <v>68</v>
      </c>
      <c r="F473">
        <v>2</v>
      </c>
      <c r="G473">
        <v>1</v>
      </c>
      <c r="H473">
        <v>1</v>
      </c>
      <c r="I473" s="6">
        <v>420105001</v>
      </c>
      <c r="J473" t="s">
        <v>71</v>
      </c>
      <c r="K473">
        <f>1785360/1000</f>
        <v>1785.36</v>
      </c>
    </row>
    <row r="474" spans="1:11" x14ac:dyDescent="0.25">
      <c r="A474" t="s">
        <v>115</v>
      </c>
      <c r="B474" s="16">
        <v>1271538</v>
      </c>
      <c r="C474" t="s">
        <v>66</v>
      </c>
      <c r="D474" t="s">
        <v>67</v>
      </c>
      <c r="E474" t="s">
        <v>68</v>
      </c>
      <c r="F474">
        <v>2</v>
      </c>
      <c r="G474">
        <v>1</v>
      </c>
      <c r="H474">
        <v>5</v>
      </c>
      <c r="I474" s="6">
        <v>420102004</v>
      </c>
      <c r="J474" t="s">
        <v>76</v>
      </c>
      <c r="K474">
        <f>1561369/1000</f>
        <v>1561.3689999999999</v>
      </c>
    </row>
    <row r="475" spans="1:11" x14ac:dyDescent="0.25">
      <c r="A475" t="s">
        <v>115</v>
      </c>
      <c r="B475" s="16">
        <v>1271538</v>
      </c>
      <c r="C475" t="s">
        <v>66</v>
      </c>
      <c r="D475" t="s">
        <v>67</v>
      </c>
      <c r="E475" t="s">
        <v>68</v>
      </c>
      <c r="F475">
        <v>2</v>
      </c>
      <c r="G475">
        <v>1</v>
      </c>
      <c r="H475">
        <v>5</v>
      </c>
      <c r="I475" s="6">
        <v>320101001</v>
      </c>
      <c r="J475" t="s">
        <v>72</v>
      </c>
      <c r="K475">
        <f>6710617/1000</f>
        <v>6710.6170000000002</v>
      </c>
    </row>
    <row r="476" spans="1:11" x14ac:dyDescent="0.25">
      <c r="A476" t="s">
        <v>115</v>
      </c>
      <c r="B476" s="16">
        <v>1271538</v>
      </c>
      <c r="C476" t="s">
        <v>66</v>
      </c>
      <c r="D476" t="s">
        <v>67</v>
      </c>
      <c r="E476" t="s">
        <v>68</v>
      </c>
      <c r="F476">
        <v>2</v>
      </c>
      <c r="G476">
        <v>1</v>
      </c>
      <c r="H476">
        <v>5</v>
      </c>
      <c r="I476" s="6">
        <v>420105001</v>
      </c>
      <c r="J476" t="s">
        <v>71</v>
      </c>
      <c r="K476">
        <f>6656300/1000</f>
        <v>6656.3</v>
      </c>
    </row>
    <row r="477" spans="1:11" x14ac:dyDescent="0.25">
      <c r="A477" t="s">
        <v>116</v>
      </c>
      <c r="B477" s="16">
        <v>1271538</v>
      </c>
      <c r="C477" t="s">
        <v>66</v>
      </c>
      <c r="D477" t="s">
        <v>67</v>
      </c>
      <c r="E477" t="s">
        <v>68</v>
      </c>
      <c r="F477">
        <v>1</v>
      </c>
      <c r="G477">
        <v>1</v>
      </c>
      <c r="H477">
        <v>4</v>
      </c>
      <c r="I477" s="6">
        <v>420201001</v>
      </c>
      <c r="J477" t="s">
        <v>70</v>
      </c>
      <c r="K477">
        <f>3645012/1000</f>
        <v>3645.0120000000002</v>
      </c>
    </row>
    <row r="478" spans="1:11" x14ac:dyDescent="0.25">
      <c r="A478" t="s">
        <v>116</v>
      </c>
      <c r="B478" s="16">
        <v>1271538</v>
      </c>
      <c r="C478" t="s">
        <v>66</v>
      </c>
      <c r="D478" t="s">
        <v>67</v>
      </c>
      <c r="E478" t="s">
        <v>68</v>
      </c>
      <c r="F478">
        <v>1</v>
      </c>
      <c r="G478">
        <v>1</v>
      </c>
      <c r="H478">
        <v>4</v>
      </c>
      <c r="I478" s="6">
        <v>320101001</v>
      </c>
      <c r="J478" t="s">
        <v>72</v>
      </c>
      <c r="K478">
        <f>6459758/1000</f>
        <v>6459.7579999999998</v>
      </c>
    </row>
    <row r="479" spans="1:11" x14ac:dyDescent="0.25">
      <c r="A479" t="s">
        <v>116</v>
      </c>
      <c r="B479" s="16">
        <v>1271538</v>
      </c>
      <c r="C479" t="s">
        <v>66</v>
      </c>
      <c r="D479" t="s">
        <v>67</v>
      </c>
      <c r="E479" t="s">
        <v>68</v>
      </c>
      <c r="F479">
        <v>1</v>
      </c>
      <c r="G479">
        <v>1</v>
      </c>
      <c r="H479">
        <v>4</v>
      </c>
      <c r="I479" s="6">
        <v>420105001</v>
      </c>
      <c r="J479" t="s">
        <v>71</v>
      </c>
      <c r="K479">
        <f>4405500/1000</f>
        <v>4405.5</v>
      </c>
    </row>
    <row r="480" spans="1:11" x14ac:dyDescent="0.25">
      <c r="A480" t="s">
        <v>116</v>
      </c>
      <c r="B480" s="16">
        <v>1271538</v>
      </c>
      <c r="C480" t="s">
        <v>66</v>
      </c>
      <c r="D480" t="s">
        <v>67</v>
      </c>
      <c r="E480" t="s">
        <v>68</v>
      </c>
      <c r="F480">
        <v>1</v>
      </c>
      <c r="G480">
        <v>1</v>
      </c>
      <c r="H480">
        <v>1</v>
      </c>
      <c r="I480" s="6">
        <v>420105001</v>
      </c>
      <c r="J480" t="s">
        <v>71</v>
      </c>
      <c r="K480">
        <f>1584104/1000</f>
        <v>1584.104</v>
      </c>
    </row>
    <row r="481" spans="1:11" x14ac:dyDescent="0.25">
      <c r="A481" t="s">
        <v>116</v>
      </c>
      <c r="B481" s="16">
        <v>1271538</v>
      </c>
      <c r="C481" t="s">
        <v>66</v>
      </c>
      <c r="D481" t="s">
        <v>67</v>
      </c>
      <c r="E481" t="s">
        <v>68</v>
      </c>
      <c r="F481">
        <v>1</v>
      </c>
      <c r="G481">
        <v>1</v>
      </c>
      <c r="H481">
        <v>5</v>
      </c>
      <c r="I481" s="6">
        <v>420201001</v>
      </c>
      <c r="J481" t="s">
        <v>70</v>
      </c>
      <c r="K481">
        <f>1902283/1000</f>
        <v>1902.2829999999999</v>
      </c>
    </row>
    <row r="482" spans="1:11" x14ac:dyDescent="0.25">
      <c r="A482" t="s">
        <v>116</v>
      </c>
      <c r="B482" s="16">
        <v>1271539</v>
      </c>
      <c r="C482" t="s">
        <v>66</v>
      </c>
      <c r="D482" t="s">
        <v>67</v>
      </c>
      <c r="E482" t="s">
        <v>68</v>
      </c>
      <c r="F482">
        <v>1</v>
      </c>
      <c r="G482">
        <v>1</v>
      </c>
      <c r="H482">
        <v>5</v>
      </c>
      <c r="I482" s="6">
        <v>320101001</v>
      </c>
      <c r="J482" t="s">
        <v>72</v>
      </c>
      <c r="K482">
        <f>1400000/1000</f>
        <v>1400</v>
      </c>
    </row>
    <row r="483" spans="1:11" x14ac:dyDescent="0.25">
      <c r="A483" t="s">
        <v>116</v>
      </c>
      <c r="B483" s="16">
        <v>1271538</v>
      </c>
      <c r="C483" t="s">
        <v>66</v>
      </c>
      <c r="D483" t="s">
        <v>67</v>
      </c>
      <c r="E483" t="s">
        <v>68</v>
      </c>
      <c r="F483">
        <v>2</v>
      </c>
      <c r="G483">
        <v>1</v>
      </c>
      <c r="H483">
        <v>1</v>
      </c>
      <c r="I483" s="6">
        <v>420201001</v>
      </c>
      <c r="J483" t="s">
        <v>70</v>
      </c>
      <c r="K483">
        <f>5332268/1000</f>
        <v>5332.268</v>
      </c>
    </row>
    <row r="484" spans="1:11" x14ac:dyDescent="0.25">
      <c r="A484" t="s">
        <v>116</v>
      </c>
      <c r="B484" s="16">
        <v>1271538</v>
      </c>
      <c r="C484" t="s">
        <v>66</v>
      </c>
      <c r="D484" t="s">
        <v>67</v>
      </c>
      <c r="E484" t="s">
        <v>68</v>
      </c>
      <c r="F484">
        <v>2</v>
      </c>
      <c r="G484">
        <v>1</v>
      </c>
      <c r="H484">
        <v>1</v>
      </c>
      <c r="I484" s="6">
        <v>320101001</v>
      </c>
      <c r="J484" t="s">
        <v>72</v>
      </c>
      <c r="K484">
        <f>791180/1000</f>
        <v>791.18</v>
      </c>
    </row>
    <row r="485" spans="1:11" x14ac:dyDescent="0.25">
      <c r="A485" t="s">
        <v>116</v>
      </c>
      <c r="B485" s="16">
        <v>1271538</v>
      </c>
      <c r="C485" t="s">
        <v>66</v>
      </c>
      <c r="D485" t="s">
        <v>67</v>
      </c>
      <c r="E485" t="s">
        <v>68</v>
      </c>
      <c r="F485">
        <v>2</v>
      </c>
      <c r="G485">
        <v>1</v>
      </c>
      <c r="H485">
        <v>5</v>
      </c>
      <c r="I485" s="6">
        <v>320101001</v>
      </c>
      <c r="J485" t="s">
        <v>72</v>
      </c>
      <c r="K485">
        <f>5536629/1000</f>
        <v>5536.6289999999999</v>
      </c>
    </row>
    <row r="486" spans="1:11" x14ac:dyDescent="0.25">
      <c r="A486" t="s">
        <v>116</v>
      </c>
      <c r="B486" s="16">
        <v>1271538</v>
      </c>
      <c r="C486" t="s">
        <v>66</v>
      </c>
      <c r="D486" t="s">
        <v>67</v>
      </c>
      <c r="E486" t="s">
        <v>68</v>
      </c>
      <c r="F486">
        <v>2</v>
      </c>
      <c r="G486">
        <v>1</v>
      </c>
      <c r="H486">
        <v>5</v>
      </c>
      <c r="I486" s="6">
        <v>420105001</v>
      </c>
      <c r="J486" t="s">
        <v>71</v>
      </c>
      <c r="K486">
        <f>10363580/1000</f>
        <v>10363.58</v>
      </c>
    </row>
    <row r="487" spans="1:11" x14ac:dyDescent="0.25">
      <c r="A487" t="s">
        <v>117</v>
      </c>
      <c r="B487" s="16">
        <v>1271538</v>
      </c>
      <c r="C487" t="s">
        <v>66</v>
      </c>
      <c r="D487" t="s">
        <v>67</v>
      </c>
      <c r="E487" t="s">
        <v>68</v>
      </c>
      <c r="F487">
        <v>1</v>
      </c>
      <c r="G487">
        <v>1</v>
      </c>
      <c r="H487">
        <v>4</v>
      </c>
      <c r="I487" s="6">
        <v>420201001</v>
      </c>
      <c r="J487" t="s">
        <v>70</v>
      </c>
      <c r="K487">
        <f>2696421/1000</f>
        <v>2696.4209999999998</v>
      </c>
    </row>
    <row r="488" spans="1:11" x14ac:dyDescent="0.25">
      <c r="A488" t="s">
        <v>117</v>
      </c>
      <c r="B488" s="16">
        <v>1271538</v>
      </c>
      <c r="C488" t="s">
        <v>66</v>
      </c>
      <c r="D488" t="s">
        <v>67</v>
      </c>
      <c r="E488" t="s">
        <v>68</v>
      </c>
      <c r="F488">
        <v>1</v>
      </c>
      <c r="G488">
        <v>1</v>
      </c>
      <c r="H488">
        <v>4</v>
      </c>
      <c r="I488" s="6">
        <v>420102004</v>
      </c>
      <c r="J488" t="s">
        <v>76</v>
      </c>
      <c r="K488">
        <f>450387/1000</f>
        <v>450.387</v>
      </c>
    </row>
    <row r="489" spans="1:11" x14ac:dyDescent="0.25">
      <c r="A489" t="s">
        <v>117</v>
      </c>
      <c r="B489" s="16">
        <v>1271538</v>
      </c>
      <c r="C489" t="s">
        <v>66</v>
      </c>
      <c r="D489" t="s">
        <v>67</v>
      </c>
      <c r="E489" t="s">
        <v>68</v>
      </c>
      <c r="F489">
        <v>1</v>
      </c>
      <c r="G489">
        <v>1</v>
      </c>
      <c r="H489">
        <v>4</v>
      </c>
      <c r="I489" s="6">
        <v>320101001</v>
      </c>
      <c r="J489" t="s">
        <v>72</v>
      </c>
      <c r="K489">
        <f>7154414/1000</f>
        <v>7154.4139999999998</v>
      </c>
    </row>
    <row r="490" spans="1:11" x14ac:dyDescent="0.25">
      <c r="A490" t="s">
        <v>117</v>
      </c>
      <c r="B490" s="16">
        <v>1271538</v>
      </c>
      <c r="C490" t="s">
        <v>66</v>
      </c>
      <c r="D490" t="s">
        <v>67</v>
      </c>
      <c r="E490" t="s">
        <v>68</v>
      </c>
      <c r="F490">
        <v>1</v>
      </c>
      <c r="G490">
        <v>1</v>
      </c>
      <c r="H490">
        <v>4</v>
      </c>
      <c r="I490" s="6">
        <v>420105001</v>
      </c>
      <c r="J490" t="s">
        <v>71</v>
      </c>
      <c r="K490">
        <f>7172568/1000</f>
        <v>7172.5680000000002</v>
      </c>
    </row>
    <row r="491" spans="1:11" x14ac:dyDescent="0.25">
      <c r="A491" t="s">
        <v>117</v>
      </c>
      <c r="B491" s="16">
        <v>1271538</v>
      </c>
      <c r="C491" t="s">
        <v>66</v>
      </c>
      <c r="D491" t="s">
        <v>67</v>
      </c>
      <c r="E491" t="s">
        <v>68</v>
      </c>
      <c r="F491">
        <v>1</v>
      </c>
      <c r="G491">
        <v>1</v>
      </c>
      <c r="H491">
        <v>1</v>
      </c>
      <c r="I491" s="6">
        <v>420105001</v>
      </c>
      <c r="J491" t="s">
        <v>71</v>
      </c>
      <c r="K491">
        <f>1548755/1000</f>
        <v>1548.7550000000001</v>
      </c>
    </row>
    <row r="492" spans="1:11" x14ac:dyDescent="0.25">
      <c r="A492" t="s">
        <v>117</v>
      </c>
      <c r="B492" s="16">
        <v>1271538</v>
      </c>
      <c r="C492" t="s">
        <v>66</v>
      </c>
      <c r="D492" t="s">
        <v>67</v>
      </c>
      <c r="E492" t="s">
        <v>68</v>
      </c>
      <c r="F492">
        <v>1</v>
      </c>
      <c r="G492">
        <v>1</v>
      </c>
      <c r="H492">
        <v>5</v>
      </c>
      <c r="I492" s="6">
        <v>420201001</v>
      </c>
      <c r="J492" t="s">
        <v>70</v>
      </c>
      <c r="K492">
        <f>2293327/1000</f>
        <v>2293.3270000000002</v>
      </c>
    </row>
    <row r="493" spans="1:11" x14ac:dyDescent="0.25">
      <c r="A493" t="s">
        <v>117</v>
      </c>
      <c r="B493" s="16">
        <v>1271538</v>
      </c>
      <c r="C493" t="s">
        <v>66</v>
      </c>
      <c r="D493" t="s">
        <v>67</v>
      </c>
      <c r="E493" t="s">
        <v>68</v>
      </c>
      <c r="F493">
        <v>1</v>
      </c>
      <c r="G493">
        <v>1</v>
      </c>
      <c r="H493">
        <v>5</v>
      </c>
      <c r="I493" s="6">
        <v>420102004</v>
      </c>
      <c r="J493" t="s">
        <v>76</v>
      </c>
      <c r="K493">
        <f>196269/1000</f>
        <v>196.26900000000001</v>
      </c>
    </row>
    <row r="494" spans="1:11" x14ac:dyDescent="0.25">
      <c r="A494" t="s">
        <v>117</v>
      </c>
      <c r="B494" s="16">
        <v>1271539</v>
      </c>
      <c r="C494" t="s">
        <v>66</v>
      </c>
      <c r="D494" t="s">
        <v>67</v>
      </c>
      <c r="E494" t="s">
        <v>68</v>
      </c>
      <c r="F494">
        <v>1</v>
      </c>
      <c r="G494">
        <v>1</v>
      </c>
      <c r="H494">
        <v>5</v>
      </c>
      <c r="I494" s="6">
        <v>320101001</v>
      </c>
      <c r="J494" t="s">
        <v>72</v>
      </c>
      <c r="K494">
        <f>3600000/1000</f>
        <v>3600</v>
      </c>
    </row>
    <row r="495" spans="1:11" x14ac:dyDescent="0.25">
      <c r="A495" t="s">
        <v>117</v>
      </c>
      <c r="B495" s="16">
        <v>1271539</v>
      </c>
      <c r="C495" t="s">
        <v>66</v>
      </c>
      <c r="D495" t="s">
        <v>67</v>
      </c>
      <c r="E495" t="s">
        <v>68</v>
      </c>
      <c r="F495">
        <v>1</v>
      </c>
      <c r="G495">
        <v>1</v>
      </c>
      <c r="H495">
        <v>5</v>
      </c>
      <c r="I495" s="6">
        <v>420105001</v>
      </c>
      <c r="J495" t="s">
        <v>71</v>
      </c>
      <c r="K495">
        <f>14740/1000</f>
        <v>14.74</v>
      </c>
    </row>
    <row r="496" spans="1:11" x14ac:dyDescent="0.25">
      <c r="A496" t="s">
        <v>117</v>
      </c>
      <c r="B496" s="16">
        <v>1271538</v>
      </c>
      <c r="C496" t="s">
        <v>66</v>
      </c>
      <c r="D496" t="s">
        <v>67</v>
      </c>
      <c r="E496" t="s">
        <v>68</v>
      </c>
      <c r="F496">
        <v>2</v>
      </c>
      <c r="G496">
        <v>1</v>
      </c>
      <c r="H496">
        <v>1</v>
      </c>
      <c r="I496" s="6">
        <v>420201001</v>
      </c>
      <c r="J496" t="s">
        <v>70</v>
      </c>
      <c r="K496">
        <f>4582251/1000</f>
        <v>4582.2510000000002</v>
      </c>
    </row>
    <row r="497" spans="1:11" x14ac:dyDescent="0.25">
      <c r="A497" t="s">
        <v>117</v>
      </c>
      <c r="B497" s="16">
        <v>1271538</v>
      </c>
      <c r="C497" t="s">
        <v>66</v>
      </c>
      <c r="D497" t="s">
        <v>67</v>
      </c>
      <c r="E497" t="s">
        <v>68</v>
      </c>
      <c r="F497">
        <v>2</v>
      </c>
      <c r="G497">
        <v>1</v>
      </c>
      <c r="H497">
        <v>5</v>
      </c>
      <c r="I497" s="6">
        <v>320101001</v>
      </c>
      <c r="J497" t="s">
        <v>72</v>
      </c>
      <c r="K497">
        <f>12523875/1000</f>
        <v>12523.875</v>
      </c>
    </row>
    <row r="498" spans="1:11" x14ac:dyDescent="0.25">
      <c r="A498" t="s">
        <v>117</v>
      </c>
      <c r="B498" s="16">
        <v>1271538</v>
      </c>
      <c r="C498" t="s">
        <v>66</v>
      </c>
      <c r="D498" t="s">
        <v>67</v>
      </c>
      <c r="E498" t="s">
        <v>68</v>
      </c>
      <c r="F498">
        <v>2</v>
      </c>
      <c r="G498">
        <v>1</v>
      </c>
      <c r="H498">
        <v>5</v>
      </c>
      <c r="I498" s="6">
        <v>420105001</v>
      </c>
      <c r="J498" t="s">
        <v>71</v>
      </c>
      <c r="K498">
        <f>4629668/1000</f>
        <v>4629.6679999999997</v>
      </c>
    </row>
    <row r="499" spans="1:11" x14ac:dyDescent="0.25">
      <c r="A499" t="s">
        <v>118</v>
      </c>
      <c r="B499" s="16">
        <v>1271538</v>
      </c>
      <c r="C499" t="s">
        <v>66</v>
      </c>
      <c r="D499" t="s">
        <v>67</v>
      </c>
      <c r="E499" t="s">
        <v>68</v>
      </c>
      <c r="F499">
        <v>1</v>
      </c>
      <c r="G499">
        <v>1</v>
      </c>
      <c r="H499">
        <v>4</v>
      </c>
      <c r="I499" s="6">
        <v>420102004</v>
      </c>
      <c r="J499" t="s">
        <v>76</v>
      </c>
      <c r="K499">
        <f>1510975/1000</f>
        <v>1510.9749999999999</v>
      </c>
    </row>
    <row r="500" spans="1:11" x14ac:dyDescent="0.25">
      <c r="A500" t="s">
        <v>118</v>
      </c>
      <c r="B500" s="16">
        <v>1271538</v>
      </c>
      <c r="C500" t="s">
        <v>66</v>
      </c>
      <c r="D500" t="s">
        <v>67</v>
      </c>
      <c r="E500" t="s">
        <v>68</v>
      </c>
      <c r="F500">
        <v>1</v>
      </c>
      <c r="G500">
        <v>1</v>
      </c>
      <c r="H500">
        <v>4</v>
      </c>
      <c r="I500" s="6">
        <v>320101001</v>
      </c>
      <c r="J500" t="s">
        <v>72</v>
      </c>
      <c r="K500">
        <f>2904662/1000</f>
        <v>2904.6619999999998</v>
      </c>
    </row>
    <row r="501" spans="1:11" x14ac:dyDescent="0.25">
      <c r="A501" t="s">
        <v>118</v>
      </c>
      <c r="B501" s="16">
        <v>1271538</v>
      </c>
      <c r="C501" t="s">
        <v>66</v>
      </c>
      <c r="D501" t="s">
        <v>67</v>
      </c>
      <c r="E501" t="s">
        <v>68</v>
      </c>
      <c r="F501">
        <v>1</v>
      </c>
      <c r="G501">
        <v>1</v>
      </c>
      <c r="H501">
        <v>4</v>
      </c>
      <c r="I501" s="6">
        <v>420105001</v>
      </c>
      <c r="J501" t="s">
        <v>71</v>
      </c>
      <c r="K501">
        <f>1489961/1000</f>
        <v>1489.961</v>
      </c>
    </row>
    <row r="502" spans="1:11" x14ac:dyDescent="0.25">
      <c r="A502" t="s">
        <v>118</v>
      </c>
      <c r="B502" s="16">
        <v>1271538</v>
      </c>
      <c r="C502" t="s">
        <v>66</v>
      </c>
      <c r="D502" t="s">
        <v>67</v>
      </c>
      <c r="E502" t="s">
        <v>68</v>
      </c>
      <c r="F502">
        <v>1</v>
      </c>
      <c r="G502">
        <v>1</v>
      </c>
      <c r="H502">
        <v>1</v>
      </c>
      <c r="I502" s="6">
        <v>420105001</v>
      </c>
      <c r="J502" t="s">
        <v>71</v>
      </c>
      <c r="K502">
        <f>1548911/1000</f>
        <v>1548.9110000000001</v>
      </c>
    </row>
    <row r="503" spans="1:11" x14ac:dyDescent="0.25">
      <c r="A503" t="s">
        <v>118</v>
      </c>
      <c r="B503" s="16">
        <v>1271538</v>
      </c>
      <c r="C503" t="s">
        <v>66</v>
      </c>
      <c r="D503" t="s">
        <v>67</v>
      </c>
      <c r="E503" t="s">
        <v>68</v>
      </c>
      <c r="F503">
        <v>1</v>
      </c>
      <c r="G503">
        <v>1</v>
      </c>
      <c r="H503">
        <v>5</v>
      </c>
      <c r="I503" s="6">
        <v>420201001</v>
      </c>
      <c r="J503" t="s">
        <v>70</v>
      </c>
      <c r="K503">
        <f>3911139/1000</f>
        <v>3911.1390000000001</v>
      </c>
    </row>
    <row r="504" spans="1:11" x14ac:dyDescent="0.25">
      <c r="A504" t="s">
        <v>118</v>
      </c>
      <c r="B504" s="16">
        <v>1271538</v>
      </c>
      <c r="C504" t="s">
        <v>66</v>
      </c>
      <c r="D504" t="s">
        <v>67</v>
      </c>
      <c r="E504" t="s">
        <v>68</v>
      </c>
      <c r="F504">
        <v>1</v>
      </c>
      <c r="G504">
        <v>1</v>
      </c>
      <c r="H504">
        <v>5</v>
      </c>
      <c r="I504" s="6">
        <v>420102004</v>
      </c>
      <c r="J504" t="s">
        <v>76</v>
      </c>
      <c r="K504">
        <f>655685/1000</f>
        <v>655.68499999999995</v>
      </c>
    </row>
    <row r="505" spans="1:11" x14ac:dyDescent="0.25">
      <c r="A505" t="s">
        <v>118</v>
      </c>
      <c r="B505" s="16">
        <v>1271539</v>
      </c>
      <c r="C505" t="s">
        <v>66</v>
      </c>
      <c r="D505" t="s">
        <v>67</v>
      </c>
      <c r="E505" t="s">
        <v>68</v>
      </c>
      <c r="F505">
        <v>1</v>
      </c>
      <c r="G505">
        <v>1</v>
      </c>
      <c r="H505">
        <v>5</v>
      </c>
      <c r="I505" s="6">
        <v>320101001</v>
      </c>
      <c r="J505" t="s">
        <v>72</v>
      </c>
      <c r="K505">
        <f>448344/1000</f>
        <v>448.34399999999999</v>
      </c>
    </row>
    <row r="506" spans="1:11" x14ac:dyDescent="0.25">
      <c r="A506" t="s">
        <v>118</v>
      </c>
      <c r="B506" s="16">
        <v>1271539</v>
      </c>
      <c r="C506" t="s">
        <v>66</v>
      </c>
      <c r="D506" t="s">
        <v>67</v>
      </c>
      <c r="E506" t="s">
        <v>68</v>
      </c>
      <c r="F506">
        <v>1</v>
      </c>
      <c r="G506">
        <v>1</v>
      </c>
      <c r="H506">
        <v>5</v>
      </c>
      <c r="I506" s="6">
        <v>420105001</v>
      </c>
      <c r="J506" t="s">
        <v>71</v>
      </c>
      <c r="K506">
        <f>902298/1000</f>
        <v>902.298</v>
      </c>
    </row>
    <row r="507" spans="1:11" x14ac:dyDescent="0.25">
      <c r="A507" t="s">
        <v>118</v>
      </c>
      <c r="B507" s="16">
        <v>1271538</v>
      </c>
      <c r="C507" t="s">
        <v>66</v>
      </c>
      <c r="D507" t="s">
        <v>67</v>
      </c>
      <c r="E507" t="s">
        <v>68</v>
      </c>
      <c r="F507">
        <v>2</v>
      </c>
      <c r="G507">
        <v>1</v>
      </c>
      <c r="H507">
        <v>1</v>
      </c>
      <c r="I507" s="6">
        <v>420201001</v>
      </c>
      <c r="J507" t="s">
        <v>70</v>
      </c>
      <c r="K507">
        <f>4739936/1000</f>
        <v>4739.9359999999997</v>
      </c>
    </row>
    <row r="508" spans="1:11" x14ac:dyDescent="0.25">
      <c r="A508" t="s">
        <v>118</v>
      </c>
      <c r="B508" s="16">
        <v>1271538</v>
      </c>
      <c r="C508" t="s">
        <v>66</v>
      </c>
      <c r="D508" t="s">
        <v>67</v>
      </c>
      <c r="E508" t="s">
        <v>68</v>
      </c>
      <c r="F508">
        <v>2</v>
      </c>
      <c r="G508">
        <v>1</v>
      </c>
      <c r="H508">
        <v>5</v>
      </c>
      <c r="I508" s="6">
        <v>420102004</v>
      </c>
      <c r="J508" t="s">
        <v>76</v>
      </c>
      <c r="K508">
        <f>1152508/1000</f>
        <v>1152.508</v>
      </c>
    </row>
    <row r="509" spans="1:11" x14ac:dyDescent="0.25">
      <c r="A509" t="s">
        <v>118</v>
      </c>
      <c r="B509" s="16">
        <v>1271538</v>
      </c>
      <c r="C509" t="s">
        <v>66</v>
      </c>
      <c r="D509" t="s">
        <v>67</v>
      </c>
      <c r="E509" t="s">
        <v>68</v>
      </c>
      <c r="F509">
        <v>2</v>
      </c>
      <c r="G509">
        <v>1</v>
      </c>
      <c r="H509">
        <v>5</v>
      </c>
      <c r="I509" s="6">
        <v>320101001</v>
      </c>
      <c r="J509" t="s">
        <v>72</v>
      </c>
      <c r="K509">
        <f>4855841/1000</f>
        <v>4855.8410000000003</v>
      </c>
    </row>
    <row r="510" spans="1:11" x14ac:dyDescent="0.25">
      <c r="A510" t="s">
        <v>118</v>
      </c>
      <c r="B510" s="16">
        <v>1271538</v>
      </c>
      <c r="C510" t="s">
        <v>66</v>
      </c>
      <c r="D510" t="s">
        <v>67</v>
      </c>
      <c r="E510" t="s">
        <v>68</v>
      </c>
      <c r="F510">
        <v>2</v>
      </c>
      <c r="G510">
        <v>1</v>
      </c>
      <c r="H510">
        <v>5</v>
      </c>
      <c r="I510" s="6">
        <v>420105001</v>
      </c>
      <c r="J510" t="s">
        <v>71</v>
      </c>
      <c r="K510">
        <f>5459826/1000</f>
        <v>5459.826</v>
      </c>
    </row>
    <row r="511" spans="1:11" x14ac:dyDescent="0.25">
      <c r="A511" t="s">
        <v>119</v>
      </c>
      <c r="B511" s="16">
        <v>1271538</v>
      </c>
      <c r="C511" t="s">
        <v>66</v>
      </c>
      <c r="D511" t="s">
        <v>67</v>
      </c>
      <c r="E511" t="s">
        <v>68</v>
      </c>
      <c r="F511">
        <v>1</v>
      </c>
      <c r="G511">
        <v>1</v>
      </c>
      <c r="H511">
        <v>4</v>
      </c>
      <c r="I511" s="6">
        <v>420201001</v>
      </c>
      <c r="J511" t="s">
        <v>70</v>
      </c>
      <c r="K511">
        <f>1493099/1000</f>
        <v>1493.0989999999999</v>
      </c>
    </row>
    <row r="512" spans="1:11" x14ac:dyDescent="0.25">
      <c r="A512" t="s">
        <v>119</v>
      </c>
      <c r="B512" s="16">
        <v>1271538</v>
      </c>
      <c r="C512" t="s">
        <v>66</v>
      </c>
      <c r="D512" t="s">
        <v>67</v>
      </c>
      <c r="E512" t="s">
        <v>68</v>
      </c>
      <c r="F512">
        <v>1</v>
      </c>
      <c r="G512">
        <v>1</v>
      </c>
      <c r="H512">
        <v>4</v>
      </c>
      <c r="I512" s="6">
        <v>420102004</v>
      </c>
      <c r="J512" t="s">
        <v>76</v>
      </c>
      <c r="K512">
        <f>485504/1000</f>
        <v>485.50400000000002</v>
      </c>
    </row>
    <row r="513" spans="1:11" x14ac:dyDescent="0.25">
      <c r="A513" t="s">
        <v>119</v>
      </c>
      <c r="B513" s="16">
        <v>1271538</v>
      </c>
      <c r="C513" t="s">
        <v>66</v>
      </c>
      <c r="D513" t="s">
        <v>67</v>
      </c>
      <c r="E513" t="s">
        <v>68</v>
      </c>
      <c r="F513">
        <v>1</v>
      </c>
      <c r="G513">
        <v>1</v>
      </c>
      <c r="H513">
        <v>4</v>
      </c>
      <c r="I513" s="6">
        <v>320101001</v>
      </c>
      <c r="J513" t="s">
        <v>72</v>
      </c>
      <c r="K513">
        <f>1518489/1000</f>
        <v>1518.489</v>
      </c>
    </row>
    <row r="514" spans="1:11" x14ac:dyDescent="0.25">
      <c r="A514" t="s">
        <v>119</v>
      </c>
      <c r="B514" s="16">
        <v>1271538</v>
      </c>
      <c r="C514" t="s">
        <v>66</v>
      </c>
      <c r="D514" t="s">
        <v>67</v>
      </c>
      <c r="E514" t="s">
        <v>68</v>
      </c>
      <c r="F514">
        <v>1</v>
      </c>
      <c r="G514">
        <v>1</v>
      </c>
      <c r="H514">
        <v>4</v>
      </c>
      <c r="I514" s="6">
        <v>420105001</v>
      </c>
      <c r="J514" t="s">
        <v>71</v>
      </c>
      <c r="K514">
        <f>3893557/1000</f>
        <v>3893.5569999999998</v>
      </c>
    </row>
    <row r="515" spans="1:11" x14ac:dyDescent="0.25">
      <c r="A515" t="s">
        <v>119</v>
      </c>
      <c r="B515" s="16">
        <v>1271538</v>
      </c>
      <c r="C515" t="s">
        <v>66</v>
      </c>
      <c r="D515" t="s">
        <v>67</v>
      </c>
      <c r="E515" t="s">
        <v>68</v>
      </c>
      <c r="F515">
        <v>1</v>
      </c>
      <c r="G515">
        <v>1</v>
      </c>
      <c r="H515">
        <v>1</v>
      </c>
      <c r="I515" s="6">
        <v>420105001</v>
      </c>
      <c r="J515" t="s">
        <v>71</v>
      </c>
      <c r="K515">
        <f>2798751/1000</f>
        <v>2798.7510000000002</v>
      </c>
    </row>
    <row r="516" spans="1:11" x14ac:dyDescent="0.25">
      <c r="A516" t="s">
        <v>119</v>
      </c>
      <c r="B516" s="16">
        <v>1271538</v>
      </c>
      <c r="C516" t="s">
        <v>66</v>
      </c>
      <c r="D516" t="s">
        <v>67</v>
      </c>
      <c r="E516" t="s">
        <v>68</v>
      </c>
      <c r="F516">
        <v>1</v>
      </c>
      <c r="G516">
        <v>1</v>
      </c>
      <c r="H516">
        <v>5</v>
      </c>
      <c r="I516" s="6">
        <v>420201001</v>
      </c>
      <c r="J516" t="s">
        <v>70</v>
      </c>
      <c r="K516">
        <f>1039605/1000</f>
        <v>1039.605</v>
      </c>
    </row>
    <row r="517" spans="1:11" x14ac:dyDescent="0.25">
      <c r="A517" t="s">
        <v>119</v>
      </c>
      <c r="B517" s="16">
        <v>1271538</v>
      </c>
      <c r="C517" t="s">
        <v>66</v>
      </c>
      <c r="D517" t="s">
        <v>67</v>
      </c>
      <c r="E517" t="s">
        <v>68</v>
      </c>
      <c r="F517">
        <v>1</v>
      </c>
      <c r="G517">
        <v>1</v>
      </c>
      <c r="H517">
        <v>5</v>
      </c>
      <c r="I517" s="6">
        <v>420102004</v>
      </c>
      <c r="J517" t="s">
        <v>76</v>
      </c>
      <c r="K517">
        <f>1006192/1000</f>
        <v>1006.192</v>
      </c>
    </row>
    <row r="518" spans="1:11" x14ac:dyDescent="0.25">
      <c r="A518" t="s">
        <v>119</v>
      </c>
      <c r="B518" s="16">
        <v>1271538</v>
      </c>
      <c r="C518" t="s">
        <v>66</v>
      </c>
      <c r="D518" t="s">
        <v>67</v>
      </c>
      <c r="E518" t="s">
        <v>68</v>
      </c>
      <c r="F518">
        <v>1</v>
      </c>
      <c r="G518">
        <v>1</v>
      </c>
      <c r="H518">
        <v>5</v>
      </c>
      <c r="I518" s="6">
        <v>320101001</v>
      </c>
      <c r="J518" t="s">
        <v>72</v>
      </c>
      <c r="K518">
        <f>3208401/1000</f>
        <v>3208.4009999999998</v>
      </c>
    </row>
    <row r="519" spans="1:11" x14ac:dyDescent="0.25">
      <c r="A519" t="s">
        <v>119</v>
      </c>
      <c r="B519" s="16">
        <v>1271538</v>
      </c>
      <c r="C519" t="s">
        <v>66</v>
      </c>
      <c r="D519" t="s">
        <v>67</v>
      </c>
      <c r="E519" t="s">
        <v>68</v>
      </c>
      <c r="F519">
        <v>1</v>
      </c>
      <c r="G519">
        <v>1</v>
      </c>
      <c r="H519">
        <v>5</v>
      </c>
      <c r="I519" s="6">
        <v>420105001</v>
      </c>
      <c r="J519" t="s">
        <v>71</v>
      </c>
      <c r="K519">
        <f>502026/1000</f>
        <v>502.02600000000001</v>
      </c>
    </row>
    <row r="520" spans="1:11" x14ac:dyDescent="0.25">
      <c r="A520" t="s">
        <v>119</v>
      </c>
      <c r="B520" s="16">
        <v>1271538</v>
      </c>
      <c r="C520" t="s">
        <v>66</v>
      </c>
      <c r="D520" t="s">
        <v>67</v>
      </c>
      <c r="E520" t="s">
        <v>68</v>
      </c>
      <c r="F520">
        <v>2</v>
      </c>
      <c r="G520">
        <v>1</v>
      </c>
      <c r="H520">
        <v>1</v>
      </c>
      <c r="I520" s="6">
        <v>420201001</v>
      </c>
      <c r="J520" t="s">
        <v>70</v>
      </c>
      <c r="K520">
        <f>3447545/1000</f>
        <v>3447.5450000000001</v>
      </c>
    </row>
    <row r="521" spans="1:11" x14ac:dyDescent="0.25">
      <c r="A521" t="s">
        <v>119</v>
      </c>
      <c r="B521" s="16">
        <v>1271538</v>
      </c>
      <c r="C521" t="s">
        <v>66</v>
      </c>
      <c r="D521" t="s">
        <v>67</v>
      </c>
      <c r="E521" t="s">
        <v>68</v>
      </c>
      <c r="F521">
        <v>2</v>
      </c>
      <c r="G521">
        <v>1</v>
      </c>
      <c r="H521">
        <v>5</v>
      </c>
      <c r="I521" s="6">
        <v>420201001</v>
      </c>
      <c r="J521" t="s">
        <v>70</v>
      </c>
      <c r="K521">
        <f>1865/1000</f>
        <v>1.865</v>
      </c>
    </row>
    <row r="522" spans="1:11" x14ac:dyDescent="0.25">
      <c r="A522" t="s">
        <v>119</v>
      </c>
      <c r="B522" s="16">
        <v>1271538</v>
      </c>
      <c r="C522" t="s">
        <v>66</v>
      </c>
      <c r="D522" t="s">
        <v>67</v>
      </c>
      <c r="E522" t="s">
        <v>68</v>
      </c>
      <c r="F522">
        <v>2</v>
      </c>
      <c r="G522">
        <v>1</v>
      </c>
      <c r="H522">
        <v>5</v>
      </c>
      <c r="I522" s="6">
        <v>420102004</v>
      </c>
      <c r="J522" t="s">
        <v>76</v>
      </c>
      <c r="K522">
        <f>1188817/1000</f>
        <v>1188.817</v>
      </c>
    </row>
    <row r="523" spans="1:11" x14ac:dyDescent="0.25">
      <c r="A523" t="s">
        <v>119</v>
      </c>
      <c r="B523" s="16">
        <v>1271538</v>
      </c>
      <c r="C523" t="s">
        <v>66</v>
      </c>
      <c r="D523" t="s">
        <v>67</v>
      </c>
      <c r="E523" t="s">
        <v>68</v>
      </c>
      <c r="F523">
        <v>2</v>
      </c>
      <c r="G523">
        <v>1</v>
      </c>
      <c r="H523">
        <v>5</v>
      </c>
      <c r="I523" s="6">
        <v>320101001</v>
      </c>
      <c r="J523" t="s">
        <v>72</v>
      </c>
      <c r="K523">
        <f>5260988/1000</f>
        <v>5260.9880000000003</v>
      </c>
    </row>
    <row r="524" spans="1:11" x14ac:dyDescent="0.25">
      <c r="A524" t="s">
        <v>119</v>
      </c>
      <c r="B524" s="16">
        <v>1271538</v>
      </c>
      <c r="C524" t="s">
        <v>66</v>
      </c>
      <c r="D524" t="s">
        <v>67</v>
      </c>
      <c r="E524" t="s">
        <v>68</v>
      </c>
      <c r="F524">
        <v>2</v>
      </c>
      <c r="G524">
        <v>1</v>
      </c>
      <c r="H524">
        <v>5</v>
      </c>
      <c r="I524" s="6">
        <v>420105001</v>
      </c>
      <c r="J524" t="s">
        <v>71</v>
      </c>
      <c r="K524">
        <f>5479843/1000</f>
        <v>5479.8429999999998</v>
      </c>
    </row>
    <row r="525" spans="1:11" x14ac:dyDescent="0.25">
      <c r="A525" t="s">
        <v>120</v>
      </c>
      <c r="B525" s="16">
        <v>1271538</v>
      </c>
      <c r="C525" t="s">
        <v>66</v>
      </c>
      <c r="D525" t="s">
        <v>67</v>
      </c>
      <c r="E525" t="s">
        <v>68</v>
      </c>
      <c r="F525">
        <v>1</v>
      </c>
      <c r="G525">
        <v>1</v>
      </c>
      <c r="H525">
        <v>4</v>
      </c>
      <c r="I525" s="6">
        <v>420201001</v>
      </c>
      <c r="J525" t="s">
        <v>70</v>
      </c>
      <c r="K525">
        <f>4803860/1000</f>
        <v>4803.8599999999997</v>
      </c>
    </row>
    <row r="526" spans="1:11" x14ac:dyDescent="0.25">
      <c r="A526" t="s">
        <v>120</v>
      </c>
      <c r="B526" s="16">
        <v>1271538</v>
      </c>
      <c r="C526" t="s">
        <v>66</v>
      </c>
      <c r="D526" t="s">
        <v>67</v>
      </c>
      <c r="E526" t="s">
        <v>68</v>
      </c>
      <c r="F526">
        <v>1</v>
      </c>
      <c r="G526">
        <v>1</v>
      </c>
      <c r="H526">
        <v>4</v>
      </c>
      <c r="I526" s="6">
        <v>420102004</v>
      </c>
      <c r="J526" t="s">
        <v>76</v>
      </c>
      <c r="K526">
        <f>819872/1000</f>
        <v>819.87199999999996</v>
      </c>
    </row>
    <row r="527" spans="1:11" x14ac:dyDescent="0.25">
      <c r="A527" t="s">
        <v>120</v>
      </c>
      <c r="B527" s="16">
        <v>1271538</v>
      </c>
      <c r="C527" t="s">
        <v>66</v>
      </c>
      <c r="D527" t="s">
        <v>67</v>
      </c>
      <c r="E527" t="s">
        <v>68</v>
      </c>
      <c r="F527">
        <v>1</v>
      </c>
      <c r="G527">
        <v>1</v>
      </c>
      <c r="H527">
        <v>4</v>
      </c>
      <c r="I527" s="6">
        <v>320101001</v>
      </c>
      <c r="J527" t="s">
        <v>72</v>
      </c>
      <c r="K527">
        <f>4903813/1000</f>
        <v>4903.8130000000001</v>
      </c>
    </row>
    <row r="528" spans="1:11" x14ac:dyDescent="0.25">
      <c r="A528" t="s">
        <v>120</v>
      </c>
      <c r="B528" s="16">
        <v>1271538</v>
      </c>
      <c r="C528" t="s">
        <v>66</v>
      </c>
      <c r="D528" t="s">
        <v>67</v>
      </c>
      <c r="E528" t="s">
        <v>68</v>
      </c>
      <c r="F528">
        <v>1</v>
      </c>
      <c r="G528">
        <v>1</v>
      </c>
      <c r="H528">
        <v>1</v>
      </c>
      <c r="I528" s="6">
        <v>420105001</v>
      </c>
      <c r="J528" t="s">
        <v>71</v>
      </c>
      <c r="K528">
        <f>2922475/1000</f>
        <v>2922.4749999999999</v>
      </c>
    </row>
    <row r="529" spans="1:11" x14ac:dyDescent="0.25">
      <c r="A529" t="s">
        <v>120</v>
      </c>
      <c r="B529" s="16">
        <v>1271538</v>
      </c>
      <c r="C529" t="s">
        <v>66</v>
      </c>
      <c r="D529" t="s">
        <v>67</v>
      </c>
      <c r="E529" t="s">
        <v>68</v>
      </c>
      <c r="F529">
        <v>1</v>
      </c>
      <c r="G529">
        <v>1</v>
      </c>
      <c r="H529">
        <v>5</v>
      </c>
      <c r="I529" s="6">
        <v>420201001</v>
      </c>
      <c r="J529" t="s">
        <v>70</v>
      </c>
      <c r="K529">
        <f>1986209/1000</f>
        <v>1986.2090000000001</v>
      </c>
    </row>
    <row r="530" spans="1:11" x14ac:dyDescent="0.25">
      <c r="A530" t="s">
        <v>120</v>
      </c>
      <c r="B530" s="16">
        <v>1271538</v>
      </c>
      <c r="C530" t="s">
        <v>66</v>
      </c>
      <c r="D530" t="s">
        <v>67</v>
      </c>
      <c r="E530" t="s">
        <v>68</v>
      </c>
      <c r="F530">
        <v>1</v>
      </c>
      <c r="G530">
        <v>1</v>
      </c>
      <c r="H530">
        <v>5</v>
      </c>
      <c r="I530" s="6">
        <v>420102004</v>
      </c>
      <c r="J530" t="s">
        <v>76</v>
      </c>
      <c r="K530">
        <f>405649/1000</f>
        <v>405.649</v>
      </c>
    </row>
    <row r="531" spans="1:11" x14ac:dyDescent="0.25">
      <c r="A531" t="s">
        <v>120</v>
      </c>
      <c r="B531" s="16">
        <v>1271538</v>
      </c>
      <c r="C531" t="s">
        <v>66</v>
      </c>
      <c r="D531" t="s">
        <v>67</v>
      </c>
      <c r="E531" t="s">
        <v>68</v>
      </c>
      <c r="F531">
        <v>1</v>
      </c>
      <c r="G531">
        <v>1</v>
      </c>
      <c r="H531">
        <v>5</v>
      </c>
      <c r="I531" s="6">
        <v>320101001</v>
      </c>
      <c r="J531" t="s">
        <v>72</v>
      </c>
      <c r="K531">
        <f>1885626/1000</f>
        <v>1885.626</v>
      </c>
    </row>
    <row r="532" spans="1:11" x14ac:dyDescent="0.25">
      <c r="A532" t="s">
        <v>120</v>
      </c>
      <c r="B532" s="16">
        <v>1271538</v>
      </c>
      <c r="C532" t="s">
        <v>66</v>
      </c>
      <c r="D532" t="s">
        <v>67</v>
      </c>
      <c r="E532" t="s">
        <v>68</v>
      </c>
      <c r="F532">
        <v>2</v>
      </c>
      <c r="G532">
        <v>1</v>
      </c>
      <c r="H532">
        <v>1</v>
      </c>
      <c r="I532" s="6">
        <v>420201001</v>
      </c>
      <c r="J532" t="s">
        <v>70</v>
      </c>
      <c r="K532">
        <f>4488327/1000</f>
        <v>4488.3270000000002</v>
      </c>
    </row>
    <row r="533" spans="1:11" x14ac:dyDescent="0.25">
      <c r="A533" t="s">
        <v>120</v>
      </c>
      <c r="B533" s="16">
        <v>1271538</v>
      </c>
      <c r="C533" t="s">
        <v>66</v>
      </c>
      <c r="D533" t="s">
        <v>67</v>
      </c>
      <c r="E533" t="s">
        <v>68</v>
      </c>
      <c r="F533">
        <v>2</v>
      </c>
      <c r="G533">
        <v>1</v>
      </c>
      <c r="H533">
        <v>5</v>
      </c>
      <c r="I533" s="6">
        <v>420102004</v>
      </c>
      <c r="J533" t="s">
        <v>76</v>
      </c>
      <c r="K533">
        <f>1783409/1000</f>
        <v>1783.4090000000001</v>
      </c>
    </row>
    <row r="534" spans="1:11" x14ac:dyDescent="0.25">
      <c r="A534" t="s">
        <v>120</v>
      </c>
      <c r="B534" s="16">
        <v>1271538</v>
      </c>
      <c r="C534" t="s">
        <v>66</v>
      </c>
      <c r="D534" t="s">
        <v>67</v>
      </c>
      <c r="E534" t="s">
        <v>68</v>
      </c>
      <c r="F534">
        <v>2</v>
      </c>
      <c r="G534">
        <v>1</v>
      </c>
      <c r="H534">
        <v>5</v>
      </c>
      <c r="I534" s="6">
        <v>320101001</v>
      </c>
      <c r="J534" t="s">
        <v>72</v>
      </c>
      <c r="K534">
        <f>6410768/1000</f>
        <v>6410.768</v>
      </c>
    </row>
    <row r="535" spans="1:11" x14ac:dyDescent="0.25">
      <c r="A535" t="s">
        <v>120</v>
      </c>
      <c r="B535" s="16">
        <v>1271538</v>
      </c>
      <c r="C535" t="s">
        <v>66</v>
      </c>
      <c r="D535" t="s">
        <v>67</v>
      </c>
      <c r="E535" t="s">
        <v>68</v>
      </c>
      <c r="F535">
        <v>2</v>
      </c>
      <c r="G535">
        <v>1</v>
      </c>
      <c r="H535">
        <v>5</v>
      </c>
      <c r="I535" s="6">
        <v>420105001</v>
      </c>
      <c r="J535" t="s">
        <v>71</v>
      </c>
      <c r="K535">
        <f>7523055/1000</f>
        <v>7523.0550000000003</v>
      </c>
    </row>
    <row r="536" spans="1:11" x14ac:dyDescent="0.25">
      <c r="A536" t="s">
        <v>121</v>
      </c>
      <c r="B536" s="16">
        <v>1271538</v>
      </c>
      <c r="C536" t="s">
        <v>66</v>
      </c>
      <c r="D536" t="s">
        <v>67</v>
      </c>
      <c r="E536" t="s">
        <v>68</v>
      </c>
      <c r="F536">
        <v>1</v>
      </c>
      <c r="G536">
        <v>1</v>
      </c>
      <c r="H536">
        <v>4</v>
      </c>
      <c r="I536" s="6">
        <v>420201001</v>
      </c>
      <c r="J536" t="s">
        <v>70</v>
      </c>
      <c r="K536">
        <f>2425876/1000</f>
        <v>2425.8760000000002</v>
      </c>
    </row>
    <row r="537" spans="1:11" x14ac:dyDescent="0.25">
      <c r="A537" t="s">
        <v>121</v>
      </c>
      <c r="B537" s="16">
        <v>1271538</v>
      </c>
      <c r="C537" t="s">
        <v>66</v>
      </c>
      <c r="D537" t="s">
        <v>67</v>
      </c>
      <c r="E537" t="s">
        <v>68</v>
      </c>
      <c r="F537">
        <v>1</v>
      </c>
      <c r="G537">
        <v>1</v>
      </c>
      <c r="H537">
        <v>4</v>
      </c>
      <c r="I537" s="6">
        <v>420102004</v>
      </c>
      <c r="J537" t="s">
        <v>76</v>
      </c>
      <c r="K537">
        <f>1060224/1000</f>
        <v>1060.2239999999999</v>
      </c>
    </row>
    <row r="538" spans="1:11" x14ac:dyDescent="0.25">
      <c r="A538" t="s">
        <v>121</v>
      </c>
      <c r="B538" s="16">
        <v>1271538</v>
      </c>
      <c r="C538" t="s">
        <v>66</v>
      </c>
      <c r="D538" t="s">
        <v>67</v>
      </c>
      <c r="E538" t="s">
        <v>68</v>
      </c>
      <c r="F538">
        <v>1</v>
      </c>
      <c r="G538">
        <v>1</v>
      </c>
      <c r="H538">
        <v>4</v>
      </c>
      <c r="I538" s="6">
        <v>320101001</v>
      </c>
      <c r="J538" t="s">
        <v>72</v>
      </c>
      <c r="K538">
        <f>4611317/1000</f>
        <v>4611.317</v>
      </c>
    </row>
    <row r="539" spans="1:11" x14ac:dyDescent="0.25">
      <c r="A539" t="s">
        <v>121</v>
      </c>
      <c r="B539" s="16">
        <v>1271538</v>
      </c>
      <c r="C539" t="s">
        <v>66</v>
      </c>
      <c r="D539" t="s">
        <v>67</v>
      </c>
      <c r="E539" t="s">
        <v>68</v>
      </c>
      <c r="F539">
        <v>1</v>
      </c>
      <c r="G539">
        <v>1</v>
      </c>
      <c r="H539">
        <v>4</v>
      </c>
      <c r="I539" s="6">
        <v>420105001</v>
      </c>
      <c r="J539" t="s">
        <v>71</v>
      </c>
      <c r="K539">
        <f>1931091/1000</f>
        <v>1931.0909999999999</v>
      </c>
    </row>
    <row r="540" spans="1:11" x14ac:dyDescent="0.25">
      <c r="A540" t="s">
        <v>121</v>
      </c>
      <c r="B540" s="16">
        <v>1271538</v>
      </c>
      <c r="C540" t="s">
        <v>66</v>
      </c>
      <c r="D540" t="s">
        <v>67</v>
      </c>
      <c r="E540" t="s">
        <v>68</v>
      </c>
      <c r="F540">
        <v>1</v>
      </c>
      <c r="G540">
        <v>1</v>
      </c>
      <c r="H540">
        <v>1</v>
      </c>
      <c r="I540" s="6">
        <v>420105001</v>
      </c>
      <c r="J540" t="s">
        <v>71</v>
      </c>
      <c r="K540">
        <f>1637305/1000</f>
        <v>1637.3050000000001</v>
      </c>
    </row>
    <row r="541" spans="1:11" x14ac:dyDescent="0.25">
      <c r="A541" t="s">
        <v>121</v>
      </c>
      <c r="B541" s="16">
        <v>1271538</v>
      </c>
      <c r="C541" t="s">
        <v>66</v>
      </c>
      <c r="D541" t="s">
        <v>67</v>
      </c>
      <c r="E541" t="s">
        <v>68</v>
      </c>
      <c r="F541">
        <v>1</v>
      </c>
      <c r="G541">
        <v>1</v>
      </c>
      <c r="H541">
        <v>5</v>
      </c>
      <c r="I541" s="6">
        <v>420201001</v>
      </c>
      <c r="J541" t="s">
        <v>70</v>
      </c>
      <c r="K541">
        <f>3234157/1000</f>
        <v>3234.1570000000002</v>
      </c>
    </row>
    <row r="542" spans="1:11" x14ac:dyDescent="0.25">
      <c r="A542" t="s">
        <v>121</v>
      </c>
      <c r="B542" s="16">
        <v>1271538</v>
      </c>
      <c r="C542" t="s">
        <v>66</v>
      </c>
      <c r="D542" t="s">
        <v>67</v>
      </c>
      <c r="E542" t="s">
        <v>68</v>
      </c>
      <c r="F542">
        <v>1</v>
      </c>
      <c r="G542">
        <v>1</v>
      </c>
      <c r="H542">
        <v>5</v>
      </c>
      <c r="I542" s="6">
        <v>420102004</v>
      </c>
      <c r="J542" t="s">
        <v>76</v>
      </c>
      <c r="K542">
        <f>448700/1000</f>
        <v>448.7</v>
      </c>
    </row>
    <row r="543" spans="1:11" x14ac:dyDescent="0.25">
      <c r="A543" t="s">
        <v>121</v>
      </c>
      <c r="B543" s="16">
        <v>1271538</v>
      </c>
      <c r="C543" t="s">
        <v>66</v>
      </c>
      <c r="D543" t="s">
        <v>67</v>
      </c>
      <c r="E543" t="s">
        <v>68</v>
      </c>
      <c r="F543">
        <v>1</v>
      </c>
      <c r="G543">
        <v>1</v>
      </c>
      <c r="H543">
        <v>5</v>
      </c>
      <c r="I543" s="6">
        <v>320101001</v>
      </c>
      <c r="J543" t="s">
        <v>72</v>
      </c>
      <c r="K543">
        <f>2543170/1000</f>
        <v>2543.17</v>
      </c>
    </row>
    <row r="544" spans="1:11" x14ac:dyDescent="0.25">
      <c r="A544" t="s">
        <v>121</v>
      </c>
      <c r="B544" s="16">
        <v>1271538</v>
      </c>
      <c r="C544" t="s">
        <v>66</v>
      </c>
      <c r="D544" t="s">
        <v>67</v>
      </c>
      <c r="E544" t="s">
        <v>68</v>
      </c>
      <c r="F544">
        <v>1</v>
      </c>
      <c r="G544">
        <v>1</v>
      </c>
      <c r="H544">
        <v>5</v>
      </c>
      <c r="I544" s="6">
        <v>420105001</v>
      </c>
      <c r="J544" t="s">
        <v>71</v>
      </c>
      <c r="K544">
        <f>2527909/1000</f>
        <v>2527.9090000000001</v>
      </c>
    </row>
    <row r="545" spans="1:11" x14ac:dyDescent="0.25">
      <c r="A545" t="s">
        <v>121</v>
      </c>
      <c r="B545" s="16">
        <v>1271538</v>
      </c>
      <c r="C545" t="s">
        <v>66</v>
      </c>
      <c r="D545" t="s">
        <v>67</v>
      </c>
      <c r="E545" t="s">
        <v>68</v>
      </c>
      <c r="F545">
        <v>2</v>
      </c>
      <c r="G545">
        <v>1</v>
      </c>
      <c r="H545">
        <v>1</v>
      </c>
      <c r="I545" s="6">
        <v>420201001</v>
      </c>
      <c r="J545" t="s">
        <v>70</v>
      </c>
      <c r="K545">
        <f>6336261/1000</f>
        <v>6336.2610000000004</v>
      </c>
    </row>
    <row r="546" spans="1:11" x14ac:dyDescent="0.25">
      <c r="A546" t="s">
        <v>121</v>
      </c>
      <c r="B546" s="16">
        <v>1271538</v>
      </c>
      <c r="C546" t="s">
        <v>66</v>
      </c>
      <c r="D546" t="s">
        <v>67</v>
      </c>
      <c r="E546" t="s">
        <v>68</v>
      </c>
      <c r="F546">
        <v>2</v>
      </c>
      <c r="G546">
        <v>1</v>
      </c>
      <c r="H546">
        <v>5</v>
      </c>
      <c r="I546" s="6">
        <v>420102004</v>
      </c>
      <c r="J546" t="s">
        <v>76</v>
      </c>
      <c r="K546">
        <f>2459704/1000</f>
        <v>2459.7040000000002</v>
      </c>
    </row>
    <row r="547" spans="1:11" x14ac:dyDescent="0.25">
      <c r="A547" t="s">
        <v>121</v>
      </c>
      <c r="B547" s="16">
        <v>1271538</v>
      </c>
      <c r="C547" t="s">
        <v>66</v>
      </c>
      <c r="D547" t="s">
        <v>67</v>
      </c>
      <c r="E547" t="s">
        <v>68</v>
      </c>
      <c r="F547">
        <v>2</v>
      </c>
      <c r="G547">
        <v>1</v>
      </c>
      <c r="H547">
        <v>5</v>
      </c>
      <c r="I547" s="6">
        <v>320101001</v>
      </c>
      <c r="J547" t="s">
        <v>72</v>
      </c>
      <c r="K547">
        <f>6533002/1000</f>
        <v>6533.0020000000004</v>
      </c>
    </row>
    <row r="548" spans="1:11" x14ac:dyDescent="0.25">
      <c r="A548" t="s">
        <v>121</v>
      </c>
      <c r="B548" s="16">
        <v>1271538</v>
      </c>
      <c r="C548" t="s">
        <v>66</v>
      </c>
      <c r="D548" t="s">
        <v>67</v>
      </c>
      <c r="E548" t="s">
        <v>68</v>
      </c>
      <c r="F548">
        <v>2</v>
      </c>
      <c r="G548">
        <v>1</v>
      </c>
      <c r="H548">
        <v>5</v>
      </c>
      <c r="I548" s="6">
        <v>420105001</v>
      </c>
      <c r="J548" t="s">
        <v>71</v>
      </c>
      <c r="K548">
        <f>3631016/1000</f>
        <v>3631.0160000000001</v>
      </c>
    </row>
    <row r="549" spans="1:11" x14ac:dyDescent="0.25">
      <c r="A549" t="s">
        <v>122</v>
      </c>
      <c r="B549" s="16">
        <v>1271538</v>
      </c>
      <c r="C549" t="s">
        <v>66</v>
      </c>
      <c r="D549" t="s">
        <v>67</v>
      </c>
      <c r="E549" t="s">
        <v>68</v>
      </c>
      <c r="F549">
        <v>1</v>
      </c>
      <c r="G549">
        <v>1</v>
      </c>
      <c r="H549">
        <v>4</v>
      </c>
      <c r="I549" s="6">
        <v>420201001</v>
      </c>
      <c r="J549" t="s">
        <v>70</v>
      </c>
      <c r="K549">
        <f>2437884/1000</f>
        <v>2437.884</v>
      </c>
    </row>
    <row r="550" spans="1:11" x14ac:dyDescent="0.25">
      <c r="A550" t="s">
        <v>122</v>
      </c>
      <c r="B550" s="16">
        <v>1271538</v>
      </c>
      <c r="C550" t="s">
        <v>66</v>
      </c>
      <c r="D550" t="s">
        <v>67</v>
      </c>
      <c r="E550" t="s">
        <v>68</v>
      </c>
      <c r="F550">
        <v>1</v>
      </c>
      <c r="G550">
        <v>1</v>
      </c>
      <c r="H550">
        <v>4</v>
      </c>
      <c r="I550" s="6">
        <v>420102004</v>
      </c>
      <c r="J550" t="s">
        <v>76</v>
      </c>
      <c r="K550">
        <f>2331689/1000</f>
        <v>2331.6889999999999</v>
      </c>
    </row>
    <row r="551" spans="1:11" x14ac:dyDescent="0.25">
      <c r="A551" t="s">
        <v>122</v>
      </c>
      <c r="B551" s="16">
        <v>1271538</v>
      </c>
      <c r="C551" t="s">
        <v>66</v>
      </c>
      <c r="D551" t="s">
        <v>67</v>
      </c>
      <c r="E551" t="s">
        <v>68</v>
      </c>
      <c r="F551">
        <v>1</v>
      </c>
      <c r="G551">
        <v>1</v>
      </c>
      <c r="H551">
        <v>4</v>
      </c>
      <c r="I551" s="6">
        <v>320101001</v>
      </c>
      <c r="J551" t="s">
        <v>72</v>
      </c>
      <c r="K551">
        <f>6452647/1000</f>
        <v>6452.6469999999999</v>
      </c>
    </row>
    <row r="552" spans="1:11" x14ac:dyDescent="0.25">
      <c r="A552" t="s">
        <v>122</v>
      </c>
      <c r="B552" s="16">
        <v>1271538</v>
      </c>
      <c r="C552" t="s">
        <v>66</v>
      </c>
      <c r="D552" t="s">
        <v>67</v>
      </c>
      <c r="E552" t="s">
        <v>68</v>
      </c>
      <c r="F552">
        <v>1</v>
      </c>
      <c r="G552">
        <v>1</v>
      </c>
      <c r="H552">
        <v>4</v>
      </c>
      <c r="I552" s="6">
        <v>420105001</v>
      </c>
      <c r="J552" t="s">
        <v>71</v>
      </c>
      <c r="K552">
        <f>3424493/1000</f>
        <v>3424.4929999999999</v>
      </c>
    </row>
    <row r="553" spans="1:11" x14ac:dyDescent="0.25">
      <c r="A553" t="s">
        <v>122</v>
      </c>
      <c r="B553" s="16">
        <v>1271538</v>
      </c>
      <c r="C553" t="s">
        <v>66</v>
      </c>
      <c r="D553" t="s">
        <v>67</v>
      </c>
      <c r="E553" t="s">
        <v>68</v>
      </c>
      <c r="F553">
        <v>1</v>
      </c>
      <c r="G553">
        <v>1</v>
      </c>
      <c r="H553">
        <v>1</v>
      </c>
      <c r="I553" s="6">
        <v>420105001</v>
      </c>
      <c r="J553" t="s">
        <v>71</v>
      </c>
      <c r="K553">
        <f>1189407/1000</f>
        <v>1189.4069999999999</v>
      </c>
    </row>
    <row r="554" spans="1:11" x14ac:dyDescent="0.25">
      <c r="A554" t="s">
        <v>122</v>
      </c>
      <c r="B554" s="16">
        <v>1271538</v>
      </c>
      <c r="C554" t="s">
        <v>66</v>
      </c>
      <c r="D554" t="s">
        <v>67</v>
      </c>
      <c r="E554" t="s">
        <v>68</v>
      </c>
      <c r="F554">
        <v>1</v>
      </c>
      <c r="G554">
        <v>1</v>
      </c>
      <c r="H554">
        <v>5</v>
      </c>
      <c r="I554" s="6">
        <v>420201001</v>
      </c>
      <c r="J554" t="s">
        <v>70</v>
      </c>
      <c r="K554">
        <f>2412679/1000</f>
        <v>2412.6790000000001</v>
      </c>
    </row>
    <row r="555" spans="1:11" x14ac:dyDescent="0.25">
      <c r="A555" t="s">
        <v>122</v>
      </c>
      <c r="B555" s="16">
        <v>1271538</v>
      </c>
      <c r="C555" t="s">
        <v>66</v>
      </c>
      <c r="D555" t="s">
        <v>67</v>
      </c>
      <c r="E555" t="s">
        <v>68</v>
      </c>
      <c r="F555">
        <v>1</v>
      </c>
      <c r="G555">
        <v>1</v>
      </c>
      <c r="H555">
        <v>5</v>
      </c>
      <c r="I555" s="6">
        <v>420102004</v>
      </c>
      <c r="J555" t="s">
        <v>76</v>
      </c>
      <c r="K555">
        <f>257328/1000</f>
        <v>257.32799999999997</v>
      </c>
    </row>
    <row r="556" spans="1:11" x14ac:dyDescent="0.25">
      <c r="A556" t="s">
        <v>122</v>
      </c>
      <c r="B556" s="16">
        <v>1271538</v>
      </c>
      <c r="C556" t="s">
        <v>66</v>
      </c>
      <c r="D556" t="s">
        <v>67</v>
      </c>
      <c r="E556" t="s">
        <v>68</v>
      </c>
      <c r="F556">
        <v>1</v>
      </c>
      <c r="G556">
        <v>1</v>
      </c>
      <c r="H556">
        <v>5</v>
      </c>
      <c r="I556" s="6">
        <v>320101001</v>
      </c>
      <c r="J556" t="s">
        <v>72</v>
      </c>
      <c r="K556">
        <f>881424/1000</f>
        <v>881.42399999999998</v>
      </c>
    </row>
    <row r="557" spans="1:11" x14ac:dyDescent="0.25">
      <c r="A557" t="s">
        <v>122</v>
      </c>
      <c r="B557" s="16">
        <v>1271538</v>
      </c>
      <c r="C557" t="s">
        <v>66</v>
      </c>
      <c r="D557" t="s">
        <v>67</v>
      </c>
      <c r="E557" t="s">
        <v>68</v>
      </c>
      <c r="F557">
        <v>1</v>
      </c>
      <c r="G557">
        <v>1</v>
      </c>
      <c r="H557">
        <v>5</v>
      </c>
      <c r="I557" s="6">
        <v>420105001</v>
      </c>
      <c r="J557" t="s">
        <v>71</v>
      </c>
      <c r="K557">
        <f>989994/1000</f>
        <v>989.99400000000003</v>
      </c>
    </row>
    <row r="558" spans="1:11" x14ac:dyDescent="0.25">
      <c r="A558" t="s">
        <v>122</v>
      </c>
      <c r="B558" s="16">
        <v>1271538</v>
      </c>
      <c r="C558" t="s">
        <v>66</v>
      </c>
      <c r="D558" t="s">
        <v>67</v>
      </c>
      <c r="E558" t="s">
        <v>68</v>
      </c>
      <c r="F558">
        <v>2</v>
      </c>
      <c r="G558">
        <v>1</v>
      </c>
      <c r="H558">
        <v>1</v>
      </c>
      <c r="I558" s="6">
        <v>420201001</v>
      </c>
      <c r="J558" t="s">
        <v>70</v>
      </c>
      <c r="K558">
        <f>6120876/1000</f>
        <v>6120.8760000000002</v>
      </c>
    </row>
    <row r="559" spans="1:11" x14ac:dyDescent="0.25">
      <c r="A559" t="s">
        <v>122</v>
      </c>
      <c r="B559" s="16">
        <v>1271538</v>
      </c>
      <c r="C559" t="s">
        <v>66</v>
      </c>
      <c r="D559" t="s">
        <v>67</v>
      </c>
      <c r="E559" t="s">
        <v>68</v>
      </c>
      <c r="F559">
        <v>2</v>
      </c>
      <c r="G559">
        <v>1</v>
      </c>
      <c r="H559">
        <v>5</v>
      </c>
      <c r="I559" s="6">
        <v>420102004</v>
      </c>
      <c r="J559" t="s">
        <v>76</v>
      </c>
      <c r="K559">
        <f>2371268/1000</f>
        <v>2371.268</v>
      </c>
    </row>
    <row r="560" spans="1:11" x14ac:dyDescent="0.25">
      <c r="A560" t="s">
        <v>122</v>
      </c>
      <c r="B560" s="16">
        <v>1271538</v>
      </c>
      <c r="C560" t="s">
        <v>66</v>
      </c>
      <c r="D560" t="s">
        <v>67</v>
      </c>
      <c r="E560" t="s">
        <v>68</v>
      </c>
      <c r="F560">
        <v>2</v>
      </c>
      <c r="G560">
        <v>1</v>
      </c>
      <c r="H560">
        <v>5</v>
      </c>
      <c r="I560" s="6">
        <v>320101001</v>
      </c>
      <c r="J560" t="s">
        <v>72</v>
      </c>
      <c r="K560">
        <f>8084562/1000</f>
        <v>8084.5619999999999</v>
      </c>
    </row>
    <row r="561" spans="1:11" x14ac:dyDescent="0.25">
      <c r="A561" t="s">
        <v>122</v>
      </c>
      <c r="B561" s="16">
        <v>1271538</v>
      </c>
      <c r="C561" t="s">
        <v>66</v>
      </c>
      <c r="D561" t="s">
        <v>67</v>
      </c>
      <c r="E561" t="s">
        <v>68</v>
      </c>
      <c r="F561">
        <v>2</v>
      </c>
      <c r="G561">
        <v>1</v>
      </c>
      <c r="H561">
        <v>5</v>
      </c>
      <c r="I561" s="6">
        <v>420105001</v>
      </c>
      <c r="J561" t="s">
        <v>71</v>
      </c>
      <c r="K561">
        <f>5587056/1000</f>
        <v>5587.0559999999996</v>
      </c>
    </row>
    <row r="562" spans="1:11" x14ac:dyDescent="0.25">
      <c r="A562" t="s">
        <v>123</v>
      </c>
      <c r="B562" s="16">
        <v>1271538</v>
      </c>
      <c r="C562" t="s">
        <v>66</v>
      </c>
      <c r="D562" t="s">
        <v>67</v>
      </c>
      <c r="E562" t="s">
        <v>68</v>
      </c>
      <c r="F562">
        <v>1</v>
      </c>
      <c r="G562">
        <v>1</v>
      </c>
      <c r="H562">
        <v>4</v>
      </c>
      <c r="I562" s="6">
        <v>420201001</v>
      </c>
      <c r="J562" t="s">
        <v>70</v>
      </c>
      <c r="K562">
        <f>1239758/1000</f>
        <v>1239.758</v>
      </c>
    </row>
    <row r="563" spans="1:11" x14ac:dyDescent="0.25">
      <c r="A563" t="s">
        <v>123</v>
      </c>
      <c r="B563" s="16">
        <v>1271538</v>
      </c>
      <c r="C563" t="s">
        <v>66</v>
      </c>
      <c r="D563" t="s">
        <v>67</v>
      </c>
      <c r="E563" t="s">
        <v>68</v>
      </c>
      <c r="F563">
        <v>1</v>
      </c>
      <c r="G563">
        <v>1</v>
      </c>
      <c r="H563">
        <v>4</v>
      </c>
      <c r="I563" s="6">
        <v>420102004</v>
      </c>
      <c r="J563" t="s">
        <v>76</v>
      </c>
      <c r="K563">
        <f>794036/1000</f>
        <v>794.03599999999994</v>
      </c>
    </row>
    <row r="564" spans="1:11" x14ac:dyDescent="0.25">
      <c r="A564" t="s">
        <v>123</v>
      </c>
      <c r="B564" s="16">
        <v>1271538</v>
      </c>
      <c r="C564" t="s">
        <v>66</v>
      </c>
      <c r="D564" t="s">
        <v>67</v>
      </c>
      <c r="E564" t="s">
        <v>68</v>
      </c>
      <c r="F564">
        <v>1</v>
      </c>
      <c r="G564">
        <v>1</v>
      </c>
      <c r="H564">
        <v>4</v>
      </c>
      <c r="I564" s="6">
        <v>320101001</v>
      </c>
      <c r="J564" t="s">
        <v>72</v>
      </c>
      <c r="K564">
        <f>6504227/1000</f>
        <v>6504.2269999999999</v>
      </c>
    </row>
    <row r="565" spans="1:11" x14ac:dyDescent="0.25">
      <c r="A565" t="s">
        <v>123</v>
      </c>
      <c r="B565" s="16">
        <v>1271538</v>
      </c>
      <c r="C565" t="s">
        <v>66</v>
      </c>
      <c r="D565" t="s">
        <v>67</v>
      </c>
      <c r="E565" t="s">
        <v>68</v>
      </c>
      <c r="F565">
        <v>1</v>
      </c>
      <c r="G565">
        <v>1</v>
      </c>
      <c r="H565">
        <v>4</v>
      </c>
      <c r="I565" s="6">
        <v>420105001</v>
      </c>
      <c r="J565" t="s">
        <v>71</v>
      </c>
      <c r="K565">
        <f>3830719/1000</f>
        <v>3830.7190000000001</v>
      </c>
    </row>
    <row r="566" spans="1:11" x14ac:dyDescent="0.25">
      <c r="A566" t="s">
        <v>123</v>
      </c>
      <c r="B566" s="16">
        <v>1271538</v>
      </c>
      <c r="C566" t="s">
        <v>66</v>
      </c>
      <c r="D566" t="s">
        <v>67</v>
      </c>
      <c r="E566" t="s">
        <v>68</v>
      </c>
      <c r="F566">
        <v>1</v>
      </c>
      <c r="G566">
        <v>1</v>
      </c>
      <c r="H566">
        <v>1</v>
      </c>
      <c r="I566" s="6">
        <v>420105001</v>
      </c>
      <c r="J566" t="s">
        <v>71</v>
      </c>
      <c r="K566">
        <f>1299301/1000</f>
        <v>1299.3009999999999</v>
      </c>
    </row>
    <row r="567" spans="1:11" x14ac:dyDescent="0.25">
      <c r="A567" t="s">
        <v>123</v>
      </c>
      <c r="B567" s="16">
        <v>1271538</v>
      </c>
      <c r="C567" t="s">
        <v>66</v>
      </c>
      <c r="D567" t="s">
        <v>67</v>
      </c>
      <c r="E567" t="s">
        <v>68</v>
      </c>
      <c r="F567">
        <v>1</v>
      </c>
      <c r="G567">
        <v>1</v>
      </c>
      <c r="H567">
        <v>5</v>
      </c>
      <c r="I567" s="6">
        <v>420201001</v>
      </c>
      <c r="J567" t="s">
        <v>70</v>
      </c>
      <c r="K567">
        <f>3418807/1000</f>
        <v>3418.8069999999998</v>
      </c>
    </row>
    <row r="568" spans="1:11" x14ac:dyDescent="0.25">
      <c r="A568" t="s">
        <v>123</v>
      </c>
      <c r="B568" s="16">
        <v>1271538</v>
      </c>
      <c r="C568" t="s">
        <v>66</v>
      </c>
      <c r="D568" t="s">
        <v>67</v>
      </c>
      <c r="E568" t="s">
        <v>68</v>
      </c>
      <c r="F568">
        <v>1</v>
      </c>
      <c r="G568">
        <v>1</v>
      </c>
      <c r="H568">
        <v>5</v>
      </c>
      <c r="I568" s="6">
        <v>320101001</v>
      </c>
      <c r="J568" t="s">
        <v>72</v>
      </c>
      <c r="K568">
        <f>1181049/1000</f>
        <v>1181.049</v>
      </c>
    </row>
    <row r="569" spans="1:11" x14ac:dyDescent="0.25">
      <c r="A569" t="s">
        <v>123</v>
      </c>
      <c r="B569" s="16">
        <v>1271538</v>
      </c>
      <c r="C569" t="s">
        <v>66</v>
      </c>
      <c r="D569" t="s">
        <v>67</v>
      </c>
      <c r="E569" t="s">
        <v>68</v>
      </c>
      <c r="F569">
        <v>1</v>
      </c>
      <c r="G569">
        <v>1</v>
      </c>
      <c r="H569">
        <v>5</v>
      </c>
      <c r="I569" s="6">
        <v>420105001</v>
      </c>
      <c r="J569" t="s">
        <v>71</v>
      </c>
      <c r="K569">
        <f>1498391/1000</f>
        <v>1498.3910000000001</v>
      </c>
    </row>
    <row r="570" spans="1:11" x14ac:dyDescent="0.25">
      <c r="A570" t="s">
        <v>123</v>
      </c>
      <c r="B570" s="16">
        <v>1271538</v>
      </c>
      <c r="C570" t="s">
        <v>66</v>
      </c>
      <c r="D570" t="s">
        <v>67</v>
      </c>
      <c r="E570" t="s">
        <v>68</v>
      </c>
      <c r="F570">
        <v>2</v>
      </c>
      <c r="G570">
        <v>1</v>
      </c>
      <c r="H570">
        <v>1</v>
      </c>
      <c r="I570" s="6">
        <v>420201001</v>
      </c>
      <c r="J570" t="s">
        <v>70</v>
      </c>
      <c r="K570">
        <f>4477363/1000</f>
        <v>4477.3630000000003</v>
      </c>
    </row>
    <row r="571" spans="1:11" x14ac:dyDescent="0.25">
      <c r="A571" t="s">
        <v>123</v>
      </c>
      <c r="B571" s="16">
        <v>1271538</v>
      </c>
      <c r="C571" t="s">
        <v>66</v>
      </c>
      <c r="D571" t="s">
        <v>67</v>
      </c>
      <c r="E571" t="s">
        <v>68</v>
      </c>
      <c r="F571">
        <v>2</v>
      </c>
      <c r="G571">
        <v>1</v>
      </c>
      <c r="H571">
        <v>5</v>
      </c>
      <c r="I571" s="6">
        <v>420102004</v>
      </c>
      <c r="J571" t="s">
        <v>76</v>
      </c>
      <c r="K571">
        <f>436905/1000</f>
        <v>436.90499999999997</v>
      </c>
    </row>
    <row r="572" spans="1:11" x14ac:dyDescent="0.25">
      <c r="A572" t="s">
        <v>123</v>
      </c>
      <c r="B572" s="16">
        <v>1271538</v>
      </c>
      <c r="C572" t="s">
        <v>66</v>
      </c>
      <c r="D572" t="s">
        <v>67</v>
      </c>
      <c r="E572" t="s">
        <v>68</v>
      </c>
      <c r="F572">
        <v>2</v>
      </c>
      <c r="G572">
        <v>1</v>
      </c>
      <c r="H572">
        <v>5</v>
      </c>
      <c r="I572" s="6">
        <v>320101001</v>
      </c>
      <c r="J572" t="s">
        <v>72</v>
      </c>
      <c r="K572">
        <f>6568018/1000</f>
        <v>6568.018</v>
      </c>
    </row>
    <row r="573" spans="1:11" x14ac:dyDescent="0.25">
      <c r="A573" t="s">
        <v>123</v>
      </c>
      <c r="B573" s="16">
        <v>1271538</v>
      </c>
      <c r="C573" t="s">
        <v>66</v>
      </c>
      <c r="D573" t="s">
        <v>67</v>
      </c>
      <c r="E573" t="s">
        <v>68</v>
      </c>
      <c r="F573">
        <v>2</v>
      </c>
      <c r="G573">
        <v>1</v>
      </c>
      <c r="H573">
        <v>5</v>
      </c>
      <c r="I573" s="6">
        <v>420105001</v>
      </c>
      <c r="J573" t="s">
        <v>71</v>
      </c>
      <c r="K573">
        <f>5681125/1000</f>
        <v>5681.125</v>
      </c>
    </row>
    <row r="574" spans="1:11" x14ac:dyDescent="0.25">
      <c r="A574" t="s">
        <v>124</v>
      </c>
      <c r="B574" s="16">
        <v>1271538</v>
      </c>
      <c r="C574" t="s">
        <v>66</v>
      </c>
      <c r="D574" t="s">
        <v>67</v>
      </c>
      <c r="E574" t="s">
        <v>68</v>
      </c>
      <c r="F574">
        <v>1</v>
      </c>
      <c r="G574">
        <v>1</v>
      </c>
      <c r="H574">
        <v>4</v>
      </c>
      <c r="I574" s="6">
        <v>420201001</v>
      </c>
      <c r="J574" t="s">
        <v>70</v>
      </c>
      <c r="K574">
        <f>3372017/1000</f>
        <v>3372.0169999999998</v>
      </c>
    </row>
    <row r="575" spans="1:11" x14ac:dyDescent="0.25">
      <c r="A575" t="s">
        <v>124</v>
      </c>
      <c r="B575" s="16">
        <v>1271538</v>
      </c>
      <c r="C575" t="s">
        <v>66</v>
      </c>
      <c r="D575" t="s">
        <v>67</v>
      </c>
      <c r="E575" t="s">
        <v>68</v>
      </c>
      <c r="F575">
        <v>1</v>
      </c>
      <c r="G575">
        <v>1</v>
      </c>
      <c r="H575">
        <v>4</v>
      </c>
      <c r="I575" s="6">
        <v>420102004</v>
      </c>
      <c r="J575" t="s">
        <v>76</v>
      </c>
      <c r="K575">
        <f>1247578/1000</f>
        <v>1247.578</v>
      </c>
    </row>
    <row r="576" spans="1:11" x14ac:dyDescent="0.25">
      <c r="A576" t="s">
        <v>124</v>
      </c>
      <c r="B576" s="16">
        <v>1271538</v>
      </c>
      <c r="C576" t="s">
        <v>66</v>
      </c>
      <c r="D576" t="s">
        <v>67</v>
      </c>
      <c r="E576" t="s">
        <v>68</v>
      </c>
      <c r="F576">
        <v>1</v>
      </c>
      <c r="G576">
        <v>1</v>
      </c>
      <c r="H576">
        <v>4</v>
      </c>
      <c r="I576" s="6">
        <v>420105001</v>
      </c>
      <c r="J576" t="s">
        <v>71</v>
      </c>
      <c r="K576">
        <f>3771056/1000</f>
        <v>3771.056</v>
      </c>
    </row>
    <row r="577" spans="1:11" x14ac:dyDescent="0.25">
      <c r="A577" t="s">
        <v>124</v>
      </c>
      <c r="B577" s="16">
        <v>1271538</v>
      </c>
      <c r="C577" t="s">
        <v>66</v>
      </c>
      <c r="D577" t="s">
        <v>67</v>
      </c>
      <c r="E577" t="s">
        <v>68</v>
      </c>
      <c r="F577">
        <v>1</v>
      </c>
      <c r="G577">
        <v>1</v>
      </c>
      <c r="H577">
        <v>1</v>
      </c>
      <c r="I577" s="6">
        <v>420102004</v>
      </c>
      <c r="J577" t="s">
        <v>76</v>
      </c>
      <c r="K577">
        <f>59458/1000</f>
        <v>59.457999999999998</v>
      </c>
    </row>
    <row r="578" spans="1:11" x14ac:dyDescent="0.25">
      <c r="A578" t="s">
        <v>124</v>
      </c>
      <c r="B578" s="16">
        <v>1271538</v>
      </c>
      <c r="C578" t="s">
        <v>66</v>
      </c>
      <c r="D578" t="s">
        <v>67</v>
      </c>
      <c r="E578" t="s">
        <v>68</v>
      </c>
      <c r="F578">
        <v>1</v>
      </c>
      <c r="G578">
        <v>1</v>
      </c>
      <c r="H578">
        <v>1</v>
      </c>
      <c r="I578" s="6">
        <v>420105001</v>
      </c>
      <c r="J578" t="s">
        <v>71</v>
      </c>
      <c r="K578">
        <f>2342408/1000</f>
        <v>2342.4079999999999</v>
      </c>
    </row>
    <row r="579" spans="1:11" x14ac:dyDescent="0.25">
      <c r="A579" t="s">
        <v>124</v>
      </c>
      <c r="B579" s="16">
        <v>1271538</v>
      </c>
      <c r="C579" t="s">
        <v>66</v>
      </c>
      <c r="D579" t="s">
        <v>67</v>
      </c>
      <c r="E579" t="s">
        <v>68</v>
      </c>
      <c r="F579">
        <v>1</v>
      </c>
      <c r="G579">
        <v>1</v>
      </c>
      <c r="H579">
        <v>5</v>
      </c>
      <c r="I579" s="6">
        <v>420201001</v>
      </c>
      <c r="J579" t="s">
        <v>70</v>
      </c>
      <c r="K579">
        <f>1470297/1000</f>
        <v>1470.297</v>
      </c>
    </row>
    <row r="580" spans="1:11" x14ac:dyDescent="0.25">
      <c r="A580" t="s">
        <v>124</v>
      </c>
      <c r="B580" s="16">
        <v>1271538</v>
      </c>
      <c r="C580" t="s">
        <v>66</v>
      </c>
      <c r="D580" t="s">
        <v>67</v>
      </c>
      <c r="E580" t="s">
        <v>68</v>
      </c>
      <c r="F580">
        <v>1</v>
      </c>
      <c r="G580">
        <v>1</v>
      </c>
      <c r="H580">
        <v>5</v>
      </c>
      <c r="I580" s="6">
        <v>420102004</v>
      </c>
      <c r="J580" t="s">
        <v>76</v>
      </c>
      <c r="K580">
        <f>3000/1000</f>
        <v>3</v>
      </c>
    </row>
    <row r="581" spans="1:11" x14ac:dyDescent="0.25">
      <c r="A581" t="s">
        <v>124</v>
      </c>
      <c r="B581" s="16">
        <v>1271538</v>
      </c>
      <c r="C581" t="s">
        <v>66</v>
      </c>
      <c r="D581" t="s">
        <v>67</v>
      </c>
      <c r="E581" t="s">
        <v>68</v>
      </c>
      <c r="F581">
        <v>1</v>
      </c>
      <c r="G581">
        <v>1</v>
      </c>
      <c r="H581">
        <v>5</v>
      </c>
      <c r="I581" s="6">
        <v>420105001</v>
      </c>
      <c r="J581" t="s">
        <v>71</v>
      </c>
      <c r="K581">
        <f>560387/1000</f>
        <v>560.38699999999994</v>
      </c>
    </row>
    <row r="582" spans="1:11" x14ac:dyDescent="0.25">
      <c r="A582" t="s">
        <v>124</v>
      </c>
      <c r="B582" s="16">
        <v>1271538</v>
      </c>
      <c r="C582" t="s">
        <v>66</v>
      </c>
      <c r="D582" t="s">
        <v>67</v>
      </c>
      <c r="E582" t="s">
        <v>68</v>
      </c>
      <c r="F582">
        <v>2</v>
      </c>
      <c r="G582">
        <v>1</v>
      </c>
      <c r="H582">
        <v>1</v>
      </c>
      <c r="I582" s="6">
        <v>420201001</v>
      </c>
      <c r="J582" t="s">
        <v>70</v>
      </c>
      <c r="K582">
        <f>5174800/1000</f>
        <v>5174.8</v>
      </c>
    </row>
    <row r="583" spans="1:11" x14ac:dyDescent="0.25">
      <c r="A583" t="s">
        <v>124</v>
      </c>
      <c r="B583" s="16">
        <v>1271538</v>
      </c>
      <c r="C583" t="s">
        <v>66</v>
      </c>
      <c r="D583" t="s">
        <v>67</v>
      </c>
      <c r="E583" t="s">
        <v>68</v>
      </c>
      <c r="F583">
        <v>2</v>
      </c>
      <c r="G583">
        <v>1</v>
      </c>
      <c r="H583">
        <v>5</v>
      </c>
      <c r="I583" s="6">
        <v>420102004</v>
      </c>
      <c r="J583" t="s">
        <v>76</v>
      </c>
      <c r="K583">
        <f>794749/1000</f>
        <v>794.74900000000002</v>
      </c>
    </row>
    <row r="584" spans="1:11" x14ac:dyDescent="0.25">
      <c r="A584" t="s">
        <v>124</v>
      </c>
      <c r="B584" s="16">
        <v>1271538</v>
      </c>
      <c r="C584" t="s">
        <v>66</v>
      </c>
      <c r="D584" t="s">
        <v>67</v>
      </c>
      <c r="E584" t="s">
        <v>68</v>
      </c>
      <c r="F584">
        <v>2</v>
      </c>
      <c r="G584">
        <v>1</v>
      </c>
      <c r="H584">
        <v>5</v>
      </c>
      <c r="I584" s="6">
        <v>320101001</v>
      </c>
      <c r="J584" t="s">
        <v>72</v>
      </c>
      <c r="K584">
        <f>1282560/1000</f>
        <v>1282.56</v>
      </c>
    </row>
    <row r="585" spans="1:11" x14ac:dyDescent="0.25">
      <c r="A585" t="s">
        <v>124</v>
      </c>
      <c r="B585" s="16">
        <v>1271538</v>
      </c>
      <c r="C585" t="s">
        <v>66</v>
      </c>
      <c r="D585" t="s">
        <v>67</v>
      </c>
      <c r="E585" t="s">
        <v>68</v>
      </c>
      <c r="F585">
        <v>2</v>
      </c>
      <c r="G585">
        <v>1</v>
      </c>
      <c r="H585">
        <v>5</v>
      </c>
      <c r="I585" s="6">
        <v>420105001</v>
      </c>
      <c r="J585" t="s">
        <v>71</v>
      </c>
      <c r="K585">
        <f>3176268/1000</f>
        <v>3176.268</v>
      </c>
    </row>
    <row r="586" spans="1:11" x14ac:dyDescent="0.25">
      <c r="A586" t="s">
        <v>125</v>
      </c>
      <c r="B586" s="16">
        <v>1271538</v>
      </c>
      <c r="C586" t="s">
        <v>66</v>
      </c>
      <c r="D586" t="s">
        <v>67</v>
      </c>
      <c r="E586" t="s">
        <v>68</v>
      </c>
      <c r="F586">
        <v>1</v>
      </c>
      <c r="G586">
        <v>1</v>
      </c>
      <c r="H586">
        <v>4</v>
      </c>
      <c r="I586" s="6">
        <v>420102004</v>
      </c>
      <c r="J586" t="s">
        <v>76</v>
      </c>
      <c r="K586">
        <f>2230624/1000</f>
        <v>2230.6239999999998</v>
      </c>
    </row>
    <row r="587" spans="1:11" x14ac:dyDescent="0.25">
      <c r="A587" t="s">
        <v>125</v>
      </c>
      <c r="B587" s="16">
        <v>1271538</v>
      </c>
      <c r="C587" t="s">
        <v>66</v>
      </c>
      <c r="D587" t="s">
        <v>67</v>
      </c>
      <c r="E587" t="s">
        <v>68</v>
      </c>
      <c r="F587">
        <v>1</v>
      </c>
      <c r="G587">
        <v>1</v>
      </c>
      <c r="H587">
        <v>4</v>
      </c>
      <c r="I587" s="6">
        <v>320101001</v>
      </c>
      <c r="J587" t="s">
        <v>72</v>
      </c>
      <c r="K587">
        <f>2213913/1000</f>
        <v>2213.913</v>
      </c>
    </row>
    <row r="588" spans="1:11" x14ac:dyDescent="0.25">
      <c r="A588" t="s">
        <v>125</v>
      </c>
      <c r="B588" s="16">
        <v>1271538</v>
      </c>
      <c r="C588" t="s">
        <v>66</v>
      </c>
      <c r="D588" t="s">
        <v>67</v>
      </c>
      <c r="E588" t="s">
        <v>68</v>
      </c>
      <c r="F588">
        <v>1</v>
      </c>
      <c r="G588">
        <v>1</v>
      </c>
      <c r="H588">
        <v>4</v>
      </c>
      <c r="I588" s="6">
        <v>420105001</v>
      </c>
      <c r="J588" t="s">
        <v>71</v>
      </c>
      <c r="K588">
        <f>3516960/1000</f>
        <v>3516.96</v>
      </c>
    </row>
    <row r="589" spans="1:11" x14ac:dyDescent="0.25">
      <c r="A589" t="s">
        <v>125</v>
      </c>
      <c r="B589" s="16">
        <v>1271538</v>
      </c>
      <c r="C589" t="s">
        <v>66</v>
      </c>
      <c r="D589" t="s">
        <v>67</v>
      </c>
      <c r="E589" t="s">
        <v>68</v>
      </c>
      <c r="F589">
        <v>1</v>
      </c>
      <c r="G589">
        <v>1</v>
      </c>
      <c r="H589">
        <v>1</v>
      </c>
      <c r="I589" s="6">
        <v>420105001</v>
      </c>
      <c r="J589" t="s">
        <v>71</v>
      </c>
      <c r="K589">
        <f>2776080/1000</f>
        <v>2776.08</v>
      </c>
    </row>
    <row r="590" spans="1:11" x14ac:dyDescent="0.25">
      <c r="A590" t="s">
        <v>125</v>
      </c>
      <c r="B590" s="16">
        <v>1271538</v>
      </c>
      <c r="C590" t="s">
        <v>66</v>
      </c>
      <c r="D590" t="s">
        <v>67</v>
      </c>
      <c r="E590" t="s">
        <v>68</v>
      </c>
      <c r="F590">
        <v>1</v>
      </c>
      <c r="G590">
        <v>1</v>
      </c>
      <c r="H590">
        <v>5</v>
      </c>
      <c r="I590" s="6">
        <v>420201001</v>
      </c>
      <c r="J590" t="s">
        <v>70</v>
      </c>
      <c r="K590">
        <f>5324120/1000</f>
        <v>5324.12</v>
      </c>
    </row>
    <row r="591" spans="1:11" x14ac:dyDescent="0.25">
      <c r="A591" t="s">
        <v>125</v>
      </c>
      <c r="B591" s="16">
        <v>1271538</v>
      </c>
      <c r="C591" t="s">
        <v>66</v>
      </c>
      <c r="D591" t="s">
        <v>67</v>
      </c>
      <c r="E591" t="s">
        <v>68</v>
      </c>
      <c r="F591">
        <v>1</v>
      </c>
      <c r="G591">
        <v>1</v>
      </c>
      <c r="H591">
        <v>5</v>
      </c>
      <c r="I591" s="6">
        <v>420105001</v>
      </c>
      <c r="J591" t="s">
        <v>71</v>
      </c>
      <c r="K591">
        <f>503626/1000</f>
        <v>503.62599999999998</v>
      </c>
    </row>
    <row r="592" spans="1:11" x14ac:dyDescent="0.25">
      <c r="A592" t="s">
        <v>125</v>
      </c>
      <c r="B592" s="16">
        <v>1271538</v>
      </c>
      <c r="C592" t="s">
        <v>66</v>
      </c>
      <c r="D592" t="s">
        <v>67</v>
      </c>
      <c r="E592" t="s">
        <v>68</v>
      </c>
      <c r="F592">
        <v>2</v>
      </c>
      <c r="G592">
        <v>1</v>
      </c>
      <c r="H592">
        <v>1</v>
      </c>
      <c r="I592" s="6">
        <v>420201001</v>
      </c>
      <c r="J592" t="s">
        <v>70</v>
      </c>
      <c r="K592">
        <f>4911413/1000</f>
        <v>4911.4129999999996</v>
      </c>
    </row>
    <row r="593" spans="1:11" x14ac:dyDescent="0.25">
      <c r="A593" t="s">
        <v>125</v>
      </c>
      <c r="B593" s="16">
        <v>1271538</v>
      </c>
      <c r="C593" t="s">
        <v>66</v>
      </c>
      <c r="D593" t="s">
        <v>67</v>
      </c>
      <c r="E593" t="s">
        <v>68</v>
      </c>
      <c r="F593">
        <v>2</v>
      </c>
      <c r="G593">
        <v>1</v>
      </c>
      <c r="H593">
        <v>5</v>
      </c>
      <c r="I593" s="6">
        <v>420201001</v>
      </c>
      <c r="J593" t="s">
        <v>70</v>
      </c>
      <c r="K593">
        <f>400000/1000</f>
        <v>400</v>
      </c>
    </row>
    <row r="594" spans="1:11" x14ac:dyDescent="0.25">
      <c r="A594" t="s">
        <v>125</v>
      </c>
      <c r="B594" s="16">
        <v>1271538</v>
      </c>
      <c r="C594" t="s">
        <v>66</v>
      </c>
      <c r="D594" t="s">
        <v>67</v>
      </c>
      <c r="E594" t="s">
        <v>68</v>
      </c>
      <c r="F594">
        <v>2</v>
      </c>
      <c r="G594">
        <v>1</v>
      </c>
      <c r="H594">
        <v>5</v>
      </c>
      <c r="I594" s="6">
        <v>420102004</v>
      </c>
      <c r="J594" t="s">
        <v>76</v>
      </c>
      <c r="K594">
        <f>2584192/1000</f>
        <v>2584.192</v>
      </c>
    </row>
    <row r="595" spans="1:11" x14ac:dyDescent="0.25">
      <c r="A595" t="s">
        <v>125</v>
      </c>
      <c r="B595" s="16">
        <v>1271538</v>
      </c>
      <c r="C595" t="s">
        <v>66</v>
      </c>
      <c r="D595" t="s">
        <v>67</v>
      </c>
      <c r="E595" t="s">
        <v>68</v>
      </c>
      <c r="F595">
        <v>2</v>
      </c>
      <c r="G595">
        <v>1</v>
      </c>
      <c r="H595">
        <v>5</v>
      </c>
      <c r="I595" s="6">
        <v>320101001</v>
      </c>
      <c r="J595" t="s">
        <v>72</v>
      </c>
      <c r="K595">
        <f>1098665/1000</f>
        <v>1098.665</v>
      </c>
    </row>
    <row r="596" spans="1:11" x14ac:dyDescent="0.25">
      <c r="A596" t="s">
        <v>125</v>
      </c>
      <c r="B596" s="16">
        <v>1271538</v>
      </c>
      <c r="C596" t="s">
        <v>66</v>
      </c>
      <c r="D596" t="s">
        <v>67</v>
      </c>
      <c r="E596" t="s">
        <v>68</v>
      </c>
      <c r="F596">
        <v>2</v>
      </c>
      <c r="G596">
        <v>1</v>
      </c>
      <c r="H596">
        <v>5</v>
      </c>
      <c r="I596" s="6">
        <v>420105001</v>
      </c>
      <c r="J596" t="s">
        <v>71</v>
      </c>
      <c r="K596">
        <f>4409346/1000</f>
        <v>4409.3459999999995</v>
      </c>
    </row>
    <row r="597" spans="1:11" x14ac:dyDescent="0.25">
      <c r="A597" t="s">
        <v>126</v>
      </c>
      <c r="B597" s="16">
        <v>1271538</v>
      </c>
      <c r="C597" t="s">
        <v>66</v>
      </c>
      <c r="D597" t="s">
        <v>67</v>
      </c>
      <c r="E597" t="s">
        <v>68</v>
      </c>
      <c r="F597">
        <v>1</v>
      </c>
      <c r="G597">
        <v>1</v>
      </c>
      <c r="H597">
        <v>4</v>
      </c>
      <c r="I597" s="6">
        <v>420201001</v>
      </c>
      <c r="J597" t="s">
        <v>70</v>
      </c>
      <c r="K597">
        <f>2330447/1000</f>
        <v>2330.4470000000001</v>
      </c>
    </row>
    <row r="598" spans="1:11" x14ac:dyDescent="0.25">
      <c r="A598" t="s">
        <v>126</v>
      </c>
      <c r="B598" s="16">
        <v>1271538</v>
      </c>
      <c r="C598" t="s">
        <v>66</v>
      </c>
      <c r="D598" t="s">
        <v>67</v>
      </c>
      <c r="E598" t="s">
        <v>68</v>
      </c>
      <c r="F598">
        <v>1</v>
      </c>
      <c r="G598">
        <v>1</v>
      </c>
      <c r="H598">
        <v>4</v>
      </c>
      <c r="I598" s="6">
        <v>420102004</v>
      </c>
      <c r="J598" t="s">
        <v>76</v>
      </c>
      <c r="K598">
        <f>3017863/1000</f>
        <v>3017.8629999999998</v>
      </c>
    </row>
    <row r="599" spans="1:11" x14ac:dyDescent="0.25">
      <c r="A599" t="s">
        <v>126</v>
      </c>
      <c r="B599" s="16">
        <v>1271538</v>
      </c>
      <c r="C599" t="s">
        <v>66</v>
      </c>
      <c r="D599" t="s">
        <v>67</v>
      </c>
      <c r="E599" t="s">
        <v>68</v>
      </c>
      <c r="F599">
        <v>1</v>
      </c>
      <c r="G599">
        <v>1</v>
      </c>
      <c r="H599">
        <v>4</v>
      </c>
      <c r="I599" s="6">
        <v>320101001</v>
      </c>
      <c r="J599" t="s">
        <v>72</v>
      </c>
      <c r="K599">
        <f>2115345/1000</f>
        <v>2115.3449999999998</v>
      </c>
    </row>
    <row r="600" spans="1:11" x14ac:dyDescent="0.25">
      <c r="A600" t="s">
        <v>126</v>
      </c>
      <c r="B600" s="16">
        <v>1271538</v>
      </c>
      <c r="C600" t="s">
        <v>66</v>
      </c>
      <c r="D600" t="s">
        <v>67</v>
      </c>
      <c r="E600" t="s">
        <v>68</v>
      </c>
      <c r="F600">
        <v>1</v>
      </c>
      <c r="G600">
        <v>1</v>
      </c>
      <c r="H600">
        <v>4</v>
      </c>
      <c r="I600" s="6">
        <v>420105001</v>
      </c>
      <c r="J600" t="s">
        <v>71</v>
      </c>
      <c r="K600">
        <f>2512272/1000</f>
        <v>2512.2719999999999</v>
      </c>
    </row>
    <row r="601" spans="1:11" x14ac:dyDescent="0.25">
      <c r="A601" t="s">
        <v>126</v>
      </c>
      <c r="B601" s="16">
        <v>1271538</v>
      </c>
      <c r="C601" t="s">
        <v>66</v>
      </c>
      <c r="D601" t="s">
        <v>67</v>
      </c>
      <c r="E601" t="s">
        <v>68</v>
      </c>
      <c r="F601">
        <v>1</v>
      </c>
      <c r="G601">
        <v>1</v>
      </c>
      <c r="H601">
        <v>1</v>
      </c>
      <c r="I601" s="6">
        <v>420105001</v>
      </c>
      <c r="J601" t="s">
        <v>71</v>
      </c>
      <c r="K601">
        <f>1418304/1000</f>
        <v>1418.3040000000001</v>
      </c>
    </row>
    <row r="602" spans="1:11" x14ac:dyDescent="0.25">
      <c r="A602" t="s">
        <v>126</v>
      </c>
      <c r="B602" s="16">
        <v>1271538</v>
      </c>
      <c r="C602" t="s">
        <v>66</v>
      </c>
      <c r="D602" t="s">
        <v>67</v>
      </c>
      <c r="E602" t="s">
        <v>68</v>
      </c>
      <c r="F602">
        <v>1</v>
      </c>
      <c r="G602">
        <v>1</v>
      </c>
      <c r="H602">
        <v>5</v>
      </c>
      <c r="I602" s="6">
        <v>420201001</v>
      </c>
      <c r="J602" t="s">
        <v>70</v>
      </c>
      <c r="K602">
        <f>2006773/1000</f>
        <v>2006.7729999999999</v>
      </c>
    </row>
    <row r="603" spans="1:11" x14ac:dyDescent="0.25">
      <c r="A603" t="s">
        <v>126</v>
      </c>
      <c r="B603" s="16">
        <v>1271538</v>
      </c>
      <c r="C603" t="s">
        <v>66</v>
      </c>
      <c r="D603" t="s">
        <v>67</v>
      </c>
      <c r="E603" t="s">
        <v>68</v>
      </c>
      <c r="F603">
        <v>2</v>
      </c>
      <c r="G603">
        <v>1</v>
      </c>
      <c r="H603">
        <v>1</v>
      </c>
      <c r="I603" s="6">
        <v>420201001</v>
      </c>
      <c r="J603" t="s">
        <v>70</v>
      </c>
      <c r="K603">
        <f>4679437/1000</f>
        <v>4679.4369999999999</v>
      </c>
    </row>
    <row r="604" spans="1:11" x14ac:dyDescent="0.25">
      <c r="A604" t="s">
        <v>126</v>
      </c>
      <c r="B604" s="16">
        <v>1271538</v>
      </c>
      <c r="C604" t="s">
        <v>66</v>
      </c>
      <c r="D604" t="s">
        <v>67</v>
      </c>
      <c r="E604" t="s">
        <v>68</v>
      </c>
      <c r="F604">
        <v>2</v>
      </c>
      <c r="G604">
        <v>1</v>
      </c>
      <c r="H604">
        <v>5</v>
      </c>
      <c r="I604" s="6">
        <v>420102004</v>
      </c>
      <c r="J604" t="s">
        <v>76</v>
      </c>
      <c r="K604">
        <f>2312701/1000</f>
        <v>2312.701</v>
      </c>
    </row>
    <row r="605" spans="1:11" x14ac:dyDescent="0.25">
      <c r="A605" t="s">
        <v>126</v>
      </c>
      <c r="B605" s="16">
        <v>1271538</v>
      </c>
      <c r="C605" t="s">
        <v>66</v>
      </c>
      <c r="D605" t="s">
        <v>67</v>
      </c>
      <c r="E605" t="s">
        <v>68</v>
      </c>
      <c r="F605">
        <v>2</v>
      </c>
      <c r="G605">
        <v>1</v>
      </c>
      <c r="H605">
        <v>5</v>
      </c>
      <c r="I605" s="6">
        <v>320101001</v>
      </c>
      <c r="J605" t="s">
        <v>72</v>
      </c>
      <c r="K605">
        <f>1183833/1000</f>
        <v>1183.8330000000001</v>
      </c>
    </row>
    <row r="606" spans="1:11" x14ac:dyDescent="0.25">
      <c r="A606" t="s">
        <v>126</v>
      </c>
      <c r="B606" s="16">
        <v>1271538</v>
      </c>
      <c r="C606" t="s">
        <v>66</v>
      </c>
      <c r="D606" t="s">
        <v>67</v>
      </c>
      <c r="E606" t="s">
        <v>68</v>
      </c>
      <c r="F606">
        <v>2</v>
      </c>
      <c r="G606">
        <v>1</v>
      </c>
      <c r="H606">
        <v>5</v>
      </c>
      <c r="I606" s="6">
        <v>420105001</v>
      </c>
      <c r="J606" t="s">
        <v>71</v>
      </c>
      <c r="K606">
        <f>7421122/1000</f>
        <v>7421.1220000000003</v>
      </c>
    </row>
    <row r="607" spans="1:11" x14ac:dyDescent="0.25">
      <c r="A607" t="s">
        <v>127</v>
      </c>
      <c r="B607" s="16">
        <v>1271538</v>
      </c>
      <c r="C607" t="s">
        <v>66</v>
      </c>
      <c r="D607" t="s">
        <v>67</v>
      </c>
      <c r="E607" t="s">
        <v>68</v>
      </c>
      <c r="F607">
        <v>1</v>
      </c>
      <c r="G607">
        <v>1</v>
      </c>
      <c r="H607">
        <v>4</v>
      </c>
      <c r="I607" s="6">
        <v>420201001</v>
      </c>
      <c r="J607" t="s">
        <v>70</v>
      </c>
      <c r="K607">
        <f>1517109/1000</f>
        <v>1517.1089999999999</v>
      </c>
    </row>
    <row r="608" spans="1:11" x14ac:dyDescent="0.25">
      <c r="A608" t="s">
        <v>127</v>
      </c>
      <c r="B608" s="16">
        <v>1271538</v>
      </c>
      <c r="C608" t="s">
        <v>66</v>
      </c>
      <c r="D608" t="s">
        <v>67</v>
      </c>
      <c r="E608" t="s">
        <v>68</v>
      </c>
      <c r="F608">
        <v>1</v>
      </c>
      <c r="G608">
        <v>1</v>
      </c>
      <c r="H608">
        <v>4</v>
      </c>
      <c r="I608" s="6">
        <v>420102004</v>
      </c>
      <c r="J608" t="s">
        <v>76</v>
      </c>
      <c r="K608">
        <f>899423/1000</f>
        <v>899.423</v>
      </c>
    </row>
    <row r="609" spans="1:11" x14ac:dyDescent="0.25">
      <c r="A609" t="s">
        <v>127</v>
      </c>
      <c r="B609" s="16">
        <v>1271538</v>
      </c>
      <c r="C609" t="s">
        <v>66</v>
      </c>
      <c r="D609" t="s">
        <v>67</v>
      </c>
      <c r="E609" t="s">
        <v>68</v>
      </c>
      <c r="F609">
        <v>1</v>
      </c>
      <c r="G609">
        <v>1</v>
      </c>
      <c r="H609">
        <v>1</v>
      </c>
      <c r="I609" s="6">
        <v>420105001</v>
      </c>
      <c r="J609" t="s">
        <v>71</v>
      </c>
      <c r="K609">
        <f>296087/1000</f>
        <v>296.08699999999999</v>
      </c>
    </row>
    <row r="610" spans="1:11" x14ac:dyDescent="0.25">
      <c r="A610" t="s">
        <v>127</v>
      </c>
      <c r="B610" s="16">
        <v>1271538</v>
      </c>
      <c r="C610" t="s">
        <v>66</v>
      </c>
      <c r="D610" t="s">
        <v>67</v>
      </c>
      <c r="E610" t="s">
        <v>68</v>
      </c>
      <c r="F610">
        <v>1</v>
      </c>
      <c r="G610">
        <v>1</v>
      </c>
      <c r="H610">
        <v>5</v>
      </c>
      <c r="I610" s="6">
        <v>420201001</v>
      </c>
      <c r="J610" t="s">
        <v>70</v>
      </c>
      <c r="K610">
        <f>3590663/1000</f>
        <v>3590.663</v>
      </c>
    </row>
    <row r="611" spans="1:11" x14ac:dyDescent="0.25">
      <c r="A611" t="s">
        <v>127</v>
      </c>
      <c r="B611" s="16">
        <v>1271538</v>
      </c>
      <c r="C611" t="s">
        <v>66</v>
      </c>
      <c r="D611" t="s">
        <v>67</v>
      </c>
      <c r="E611" t="s">
        <v>68</v>
      </c>
      <c r="F611">
        <v>1</v>
      </c>
      <c r="G611">
        <v>1</v>
      </c>
      <c r="H611">
        <v>5</v>
      </c>
      <c r="I611" s="6">
        <v>420102004</v>
      </c>
      <c r="J611" t="s">
        <v>76</v>
      </c>
      <c r="K611">
        <f>715256/1000</f>
        <v>715.25599999999997</v>
      </c>
    </row>
    <row r="612" spans="1:11" x14ac:dyDescent="0.25">
      <c r="A612" t="s">
        <v>127</v>
      </c>
      <c r="B612" s="16">
        <v>1271538</v>
      </c>
      <c r="C612" t="s">
        <v>66</v>
      </c>
      <c r="D612" t="s">
        <v>67</v>
      </c>
      <c r="E612" t="s">
        <v>68</v>
      </c>
      <c r="F612">
        <v>1</v>
      </c>
      <c r="G612">
        <v>1</v>
      </c>
      <c r="H612">
        <v>5</v>
      </c>
      <c r="I612" s="6">
        <v>420105001</v>
      </c>
      <c r="J612" t="s">
        <v>71</v>
      </c>
      <c r="K612">
        <f>2726241/1000</f>
        <v>2726.241</v>
      </c>
    </row>
    <row r="613" spans="1:11" x14ac:dyDescent="0.25">
      <c r="A613" t="s">
        <v>127</v>
      </c>
      <c r="B613" s="16">
        <v>1271538</v>
      </c>
      <c r="C613" t="s">
        <v>66</v>
      </c>
      <c r="D613" t="s">
        <v>67</v>
      </c>
      <c r="E613" t="s">
        <v>68</v>
      </c>
      <c r="F613">
        <v>2</v>
      </c>
      <c r="G613">
        <v>1</v>
      </c>
      <c r="H613">
        <v>1</v>
      </c>
      <c r="I613" s="6">
        <v>420201001</v>
      </c>
      <c r="J613" t="s">
        <v>70</v>
      </c>
      <c r="K613">
        <f>5189030/1000</f>
        <v>5189.03</v>
      </c>
    </row>
    <row r="614" spans="1:11" x14ac:dyDescent="0.25">
      <c r="A614" t="s">
        <v>127</v>
      </c>
      <c r="B614" s="16">
        <v>1271538</v>
      </c>
      <c r="C614" t="s">
        <v>66</v>
      </c>
      <c r="D614" t="s">
        <v>67</v>
      </c>
      <c r="E614" t="s">
        <v>68</v>
      </c>
      <c r="F614">
        <v>2</v>
      </c>
      <c r="G614">
        <v>1</v>
      </c>
      <c r="H614">
        <v>5</v>
      </c>
      <c r="I614" s="6">
        <v>420102004</v>
      </c>
      <c r="J614" t="s">
        <v>76</v>
      </c>
      <c r="K614">
        <f>1993146/1000</f>
        <v>1993.146</v>
      </c>
    </row>
    <row r="615" spans="1:11" x14ac:dyDescent="0.25">
      <c r="A615" t="s">
        <v>127</v>
      </c>
      <c r="B615" s="16">
        <v>1271538</v>
      </c>
      <c r="C615" t="s">
        <v>66</v>
      </c>
      <c r="D615" t="s">
        <v>67</v>
      </c>
      <c r="E615" t="s">
        <v>68</v>
      </c>
      <c r="F615">
        <v>2</v>
      </c>
      <c r="G615">
        <v>1</v>
      </c>
      <c r="H615">
        <v>5</v>
      </c>
      <c r="I615" s="6">
        <v>420105001</v>
      </c>
      <c r="J615" t="s">
        <v>71</v>
      </c>
      <c r="K615">
        <f>5227749/1000</f>
        <v>5227.7489999999998</v>
      </c>
    </row>
    <row r="616" spans="1:11" x14ac:dyDescent="0.25">
      <c r="A616" t="s">
        <v>128</v>
      </c>
      <c r="B616" s="16">
        <v>1271538</v>
      </c>
      <c r="C616" t="s">
        <v>66</v>
      </c>
      <c r="D616" t="s">
        <v>67</v>
      </c>
      <c r="E616" t="s">
        <v>68</v>
      </c>
      <c r="F616">
        <v>1</v>
      </c>
      <c r="G616">
        <v>1</v>
      </c>
      <c r="H616">
        <v>4</v>
      </c>
      <c r="I616" s="6">
        <v>420102004</v>
      </c>
      <c r="J616" t="s">
        <v>76</v>
      </c>
      <c r="K616">
        <f>428036/1000</f>
        <v>428.036</v>
      </c>
    </row>
    <row r="617" spans="1:11" x14ac:dyDescent="0.25">
      <c r="A617" t="s">
        <v>128</v>
      </c>
      <c r="B617" s="16">
        <v>1271538</v>
      </c>
      <c r="C617" t="s">
        <v>66</v>
      </c>
      <c r="D617" t="s">
        <v>67</v>
      </c>
      <c r="E617" t="s">
        <v>68</v>
      </c>
      <c r="F617">
        <v>1</v>
      </c>
      <c r="G617">
        <v>1</v>
      </c>
      <c r="H617">
        <v>5</v>
      </c>
      <c r="I617" s="6">
        <v>420201001</v>
      </c>
      <c r="J617" t="s">
        <v>70</v>
      </c>
      <c r="K617">
        <f>4963563/1000</f>
        <v>4963.5630000000001</v>
      </c>
    </row>
    <row r="618" spans="1:11" x14ac:dyDescent="0.25">
      <c r="A618" t="s">
        <v>128</v>
      </c>
      <c r="B618" s="16">
        <v>1271538</v>
      </c>
      <c r="C618" t="s">
        <v>66</v>
      </c>
      <c r="D618" t="s">
        <v>67</v>
      </c>
      <c r="E618" t="s">
        <v>68</v>
      </c>
      <c r="F618">
        <v>1</v>
      </c>
      <c r="G618">
        <v>1</v>
      </c>
      <c r="H618">
        <v>5</v>
      </c>
      <c r="I618" s="6">
        <v>420102004</v>
      </c>
      <c r="J618" t="s">
        <v>76</v>
      </c>
      <c r="K618">
        <f>501213/1000</f>
        <v>501.21300000000002</v>
      </c>
    </row>
    <row r="619" spans="1:11" x14ac:dyDescent="0.25">
      <c r="A619" t="s">
        <v>128</v>
      </c>
      <c r="B619" s="16">
        <v>1271538</v>
      </c>
      <c r="C619" t="s">
        <v>66</v>
      </c>
      <c r="D619" t="s">
        <v>67</v>
      </c>
      <c r="E619" t="s">
        <v>68</v>
      </c>
      <c r="F619">
        <v>1</v>
      </c>
      <c r="G619">
        <v>1</v>
      </c>
      <c r="H619">
        <v>5</v>
      </c>
      <c r="I619" s="6">
        <v>320101001</v>
      </c>
      <c r="J619" t="s">
        <v>72</v>
      </c>
      <c r="K619">
        <f>600000/1000</f>
        <v>600</v>
      </c>
    </row>
    <row r="620" spans="1:11" x14ac:dyDescent="0.25">
      <c r="A620" t="s">
        <v>128</v>
      </c>
      <c r="B620" s="16">
        <v>1271538</v>
      </c>
      <c r="C620" t="s">
        <v>66</v>
      </c>
      <c r="D620" t="s">
        <v>67</v>
      </c>
      <c r="E620" t="s">
        <v>68</v>
      </c>
      <c r="F620">
        <v>1</v>
      </c>
      <c r="G620">
        <v>1</v>
      </c>
      <c r="H620">
        <v>5</v>
      </c>
      <c r="I620" s="6">
        <v>420105001</v>
      </c>
      <c r="J620" t="s">
        <v>71</v>
      </c>
      <c r="K620">
        <f>4335882/1000</f>
        <v>4335.8819999999996</v>
      </c>
    </row>
    <row r="621" spans="1:11" x14ac:dyDescent="0.25">
      <c r="A621" t="s">
        <v>128</v>
      </c>
      <c r="B621" s="16">
        <v>1271538</v>
      </c>
      <c r="C621" t="s">
        <v>66</v>
      </c>
      <c r="D621" t="s">
        <v>67</v>
      </c>
      <c r="E621" t="s">
        <v>68</v>
      </c>
      <c r="F621">
        <v>2</v>
      </c>
      <c r="G621">
        <v>1</v>
      </c>
      <c r="H621">
        <v>1</v>
      </c>
      <c r="I621" s="6">
        <v>420201001</v>
      </c>
      <c r="J621" t="s">
        <v>70</v>
      </c>
      <c r="K621">
        <f>4837539/1000</f>
        <v>4837.5389999999998</v>
      </c>
    </row>
    <row r="622" spans="1:11" x14ac:dyDescent="0.25">
      <c r="A622" t="s">
        <v>128</v>
      </c>
      <c r="B622" s="16">
        <v>1271538</v>
      </c>
      <c r="C622" t="s">
        <v>66</v>
      </c>
      <c r="D622" t="s">
        <v>67</v>
      </c>
      <c r="E622" t="s">
        <v>68</v>
      </c>
      <c r="F622">
        <v>2</v>
      </c>
      <c r="G622">
        <v>1</v>
      </c>
      <c r="H622">
        <v>5</v>
      </c>
      <c r="I622" s="6">
        <v>420102004</v>
      </c>
      <c r="J622" t="s">
        <v>76</v>
      </c>
      <c r="K622">
        <f>1796708/1000</f>
        <v>1796.7080000000001</v>
      </c>
    </row>
    <row r="623" spans="1:11" x14ac:dyDescent="0.25">
      <c r="A623" t="s">
        <v>128</v>
      </c>
      <c r="B623" s="16">
        <v>1271538</v>
      </c>
      <c r="C623" t="s">
        <v>66</v>
      </c>
      <c r="D623" t="s">
        <v>67</v>
      </c>
      <c r="E623" t="s">
        <v>68</v>
      </c>
      <c r="F623">
        <v>2</v>
      </c>
      <c r="G623">
        <v>1</v>
      </c>
      <c r="H623">
        <v>5</v>
      </c>
      <c r="I623" s="6">
        <v>320101001</v>
      </c>
      <c r="J623" t="s">
        <v>72</v>
      </c>
      <c r="K623">
        <f>2287079/1000</f>
        <v>2287.0790000000002</v>
      </c>
    </row>
    <row r="624" spans="1:11" x14ac:dyDescent="0.25">
      <c r="A624" t="s">
        <v>128</v>
      </c>
      <c r="B624" s="16">
        <v>1271538</v>
      </c>
      <c r="C624" t="s">
        <v>66</v>
      </c>
      <c r="D624" t="s">
        <v>67</v>
      </c>
      <c r="E624" t="s">
        <v>68</v>
      </c>
      <c r="F624">
        <v>2</v>
      </c>
      <c r="G624">
        <v>1</v>
      </c>
      <c r="H624">
        <v>5</v>
      </c>
      <c r="I624" s="6">
        <v>420105001</v>
      </c>
      <c r="J624" t="s">
        <v>71</v>
      </c>
      <c r="K624">
        <f>1191859/1000</f>
        <v>1191.8589999999999</v>
      </c>
    </row>
    <row r="625" spans="1:11" x14ac:dyDescent="0.25">
      <c r="A625" t="s">
        <v>129</v>
      </c>
      <c r="B625" s="16">
        <v>1271538</v>
      </c>
      <c r="C625" t="s">
        <v>66</v>
      </c>
      <c r="D625" t="s">
        <v>67</v>
      </c>
      <c r="E625" t="s">
        <v>68</v>
      </c>
      <c r="F625">
        <v>1</v>
      </c>
      <c r="G625">
        <v>1</v>
      </c>
      <c r="H625">
        <v>4</v>
      </c>
      <c r="I625" s="6">
        <v>420102004</v>
      </c>
      <c r="J625" t="s">
        <v>76</v>
      </c>
      <c r="K625">
        <f>1488206/1000</f>
        <v>1488.2059999999999</v>
      </c>
    </row>
    <row r="626" spans="1:11" x14ac:dyDescent="0.25">
      <c r="A626" t="s">
        <v>129</v>
      </c>
      <c r="B626" s="16">
        <v>1271538</v>
      </c>
      <c r="C626" t="s">
        <v>66</v>
      </c>
      <c r="D626" t="s">
        <v>67</v>
      </c>
      <c r="E626" t="s">
        <v>68</v>
      </c>
      <c r="F626">
        <v>1</v>
      </c>
      <c r="G626">
        <v>1</v>
      </c>
      <c r="H626">
        <v>4</v>
      </c>
      <c r="I626" s="6">
        <v>320101001</v>
      </c>
      <c r="J626" t="s">
        <v>72</v>
      </c>
      <c r="K626">
        <f>3250528/1000</f>
        <v>3250.5279999999998</v>
      </c>
    </row>
    <row r="627" spans="1:11" x14ac:dyDescent="0.25">
      <c r="A627" t="s">
        <v>129</v>
      </c>
      <c r="B627" s="16">
        <v>1271538</v>
      </c>
      <c r="C627" t="s">
        <v>66</v>
      </c>
      <c r="D627" t="s">
        <v>67</v>
      </c>
      <c r="E627" t="s">
        <v>68</v>
      </c>
      <c r="F627">
        <v>1</v>
      </c>
      <c r="G627">
        <v>1</v>
      </c>
      <c r="H627">
        <v>4</v>
      </c>
      <c r="I627" s="6">
        <v>420105001</v>
      </c>
      <c r="J627" t="s">
        <v>71</v>
      </c>
      <c r="K627">
        <f>1793222/1000</f>
        <v>1793.222</v>
      </c>
    </row>
    <row r="628" spans="1:11" x14ac:dyDescent="0.25">
      <c r="A628" t="s">
        <v>129</v>
      </c>
      <c r="B628" s="16">
        <v>1271538</v>
      </c>
      <c r="C628" t="s">
        <v>66</v>
      </c>
      <c r="D628" t="s">
        <v>67</v>
      </c>
      <c r="E628" t="s">
        <v>68</v>
      </c>
      <c r="F628">
        <v>1</v>
      </c>
      <c r="G628">
        <v>1</v>
      </c>
      <c r="H628">
        <v>5</v>
      </c>
      <c r="I628" s="6">
        <v>420201001</v>
      </c>
      <c r="J628" t="s">
        <v>70</v>
      </c>
      <c r="K628">
        <f>7328028/1000</f>
        <v>7328.0280000000002</v>
      </c>
    </row>
    <row r="629" spans="1:11" x14ac:dyDescent="0.25">
      <c r="A629" t="s">
        <v>129</v>
      </c>
      <c r="B629" s="16">
        <v>1271538</v>
      </c>
      <c r="C629" t="s">
        <v>66</v>
      </c>
      <c r="D629" t="s">
        <v>67</v>
      </c>
      <c r="E629" t="s">
        <v>68</v>
      </c>
      <c r="F629">
        <v>1</v>
      </c>
      <c r="G629">
        <v>1</v>
      </c>
      <c r="H629">
        <v>5</v>
      </c>
      <c r="I629" s="6">
        <v>320101001</v>
      </c>
      <c r="J629" t="s">
        <v>72</v>
      </c>
      <c r="K629">
        <f>894571/1000</f>
        <v>894.57100000000003</v>
      </c>
    </row>
    <row r="630" spans="1:11" x14ac:dyDescent="0.25">
      <c r="A630" t="s">
        <v>129</v>
      </c>
      <c r="B630" s="16">
        <v>1271538</v>
      </c>
      <c r="C630" t="s">
        <v>66</v>
      </c>
      <c r="D630" t="s">
        <v>67</v>
      </c>
      <c r="E630" t="s">
        <v>68</v>
      </c>
      <c r="F630">
        <v>1</v>
      </c>
      <c r="G630">
        <v>1</v>
      </c>
      <c r="H630">
        <v>5</v>
      </c>
      <c r="I630" s="6">
        <v>420105001</v>
      </c>
      <c r="J630" t="s">
        <v>71</v>
      </c>
      <c r="K630">
        <f>5403614/1000</f>
        <v>5403.6139999999996</v>
      </c>
    </row>
    <row r="631" spans="1:11" x14ac:dyDescent="0.25">
      <c r="A631" t="s">
        <v>129</v>
      </c>
      <c r="B631" s="16">
        <v>1271538</v>
      </c>
      <c r="C631" t="s">
        <v>66</v>
      </c>
      <c r="D631" t="s">
        <v>67</v>
      </c>
      <c r="E631" t="s">
        <v>68</v>
      </c>
      <c r="F631">
        <v>2</v>
      </c>
      <c r="G631">
        <v>1</v>
      </c>
      <c r="H631">
        <v>1</v>
      </c>
      <c r="I631" s="6">
        <v>420201001</v>
      </c>
      <c r="J631" t="s">
        <v>70</v>
      </c>
      <c r="K631">
        <f>7086311/1000</f>
        <v>7086.3109999999997</v>
      </c>
    </row>
    <row r="632" spans="1:11" x14ac:dyDescent="0.25">
      <c r="A632" t="s">
        <v>129</v>
      </c>
      <c r="B632" s="16">
        <v>1271538</v>
      </c>
      <c r="C632" t="s">
        <v>66</v>
      </c>
      <c r="D632" t="s">
        <v>67</v>
      </c>
      <c r="E632" t="s">
        <v>68</v>
      </c>
      <c r="F632">
        <v>2</v>
      </c>
      <c r="G632">
        <v>1</v>
      </c>
      <c r="H632">
        <v>5</v>
      </c>
      <c r="I632" s="6">
        <v>420102004</v>
      </c>
      <c r="J632" t="s">
        <v>76</v>
      </c>
      <c r="K632">
        <f>399326/1000</f>
        <v>399.32600000000002</v>
      </c>
    </row>
    <row r="633" spans="1:11" x14ac:dyDescent="0.25">
      <c r="A633" t="s">
        <v>129</v>
      </c>
      <c r="B633" s="16">
        <v>1271538</v>
      </c>
      <c r="C633" t="s">
        <v>66</v>
      </c>
      <c r="D633" t="s">
        <v>67</v>
      </c>
      <c r="E633" t="s">
        <v>68</v>
      </c>
      <c r="F633">
        <v>2</v>
      </c>
      <c r="G633">
        <v>1</v>
      </c>
      <c r="H633">
        <v>5</v>
      </c>
      <c r="I633" s="6">
        <v>320101001</v>
      </c>
      <c r="J633" t="s">
        <v>72</v>
      </c>
      <c r="K633">
        <f>4256593/1000</f>
        <v>4256.5929999999998</v>
      </c>
    </row>
    <row r="634" spans="1:11" x14ac:dyDescent="0.25">
      <c r="A634" t="s">
        <v>129</v>
      </c>
      <c r="B634" s="16">
        <v>1271538</v>
      </c>
      <c r="C634" t="s">
        <v>66</v>
      </c>
      <c r="D634" t="s">
        <v>67</v>
      </c>
      <c r="E634" t="s">
        <v>68</v>
      </c>
      <c r="F634">
        <v>2</v>
      </c>
      <c r="G634">
        <v>1</v>
      </c>
      <c r="H634">
        <v>5</v>
      </c>
      <c r="I634" s="6">
        <v>420105001</v>
      </c>
      <c r="J634" t="s">
        <v>71</v>
      </c>
      <c r="K634">
        <f>8094542/1000</f>
        <v>8094.5420000000004</v>
      </c>
    </row>
    <row r="635" spans="1:11" x14ac:dyDescent="0.25">
      <c r="A635" t="s">
        <v>130</v>
      </c>
      <c r="B635" s="16">
        <v>1271538</v>
      </c>
      <c r="C635" t="s">
        <v>66</v>
      </c>
      <c r="D635" t="s">
        <v>67</v>
      </c>
      <c r="E635" t="s">
        <v>68</v>
      </c>
      <c r="F635">
        <v>1</v>
      </c>
      <c r="G635">
        <v>1</v>
      </c>
      <c r="H635">
        <v>4</v>
      </c>
      <c r="I635" s="6">
        <v>420102004</v>
      </c>
      <c r="J635" t="s">
        <v>76</v>
      </c>
      <c r="K635">
        <f>943371/1000</f>
        <v>943.37099999999998</v>
      </c>
    </row>
    <row r="636" spans="1:11" x14ac:dyDescent="0.25">
      <c r="A636" t="s">
        <v>130</v>
      </c>
      <c r="B636" s="16">
        <v>1271538</v>
      </c>
      <c r="C636" t="s">
        <v>66</v>
      </c>
      <c r="D636" t="s">
        <v>67</v>
      </c>
      <c r="E636" t="s">
        <v>68</v>
      </c>
      <c r="F636">
        <v>1</v>
      </c>
      <c r="G636">
        <v>1</v>
      </c>
      <c r="H636">
        <v>4</v>
      </c>
      <c r="I636" s="6">
        <v>420105001</v>
      </c>
      <c r="J636" t="s">
        <v>71</v>
      </c>
      <c r="K636">
        <f>1190931/1000</f>
        <v>1190.931</v>
      </c>
    </row>
    <row r="637" spans="1:11" x14ac:dyDescent="0.25">
      <c r="A637" t="s">
        <v>130</v>
      </c>
      <c r="B637" s="16">
        <v>1271538</v>
      </c>
      <c r="C637" t="s">
        <v>66</v>
      </c>
      <c r="D637" t="s">
        <v>67</v>
      </c>
      <c r="E637" t="s">
        <v>68</v>
      </c>
      <c r="F637">
        <v>1</v>
      </c>
      <c r="G637">
        <v>1</v>
      </c>
      <c r="H637">
        <v>5</v>
      </c>
      <c r="I637" s="6">
        <v>420201001</v>
      </c>
      <c r="J637" t="s">
        <v>70</v>
      </c>
      <c r="K637">
        <f>5482126/1000</f>
        <v>5482.1260000000002</v>
      </c>
    </row>
    <row r="638" spans="1:11" x14ac:dyDescent="0.25">
      <c r="A638" t="s">
        <v>130</v>
      </c>
      <c r="B638" s="16">
        <v>1271538</v>
      </c>
      <c r="C638" t="s">
        <v>66</v>
      </c>
      <c r="D638" t="s">
        <v>67</v>
      </c>
      <c r="E638" t="s">
        <v>68</v>
      </c>
      <c r="F638">
        <v>1</v>
      </c>
      <c r="G638">
        <v>1</v>
      </c>
      <c r="H638">
        <v>5</v>
      </c>
      <c r="I638" s="6">
        <v>420102004</v>
      </c>
      <c r="J638" t="s">
        <v>76</v>
      </c>
      <c r="K638">
        <f>500000/1000</f>
        <v>500</v>
      </c>
    </row>
    <row r="639" spans="1:11" x14ac:dyDescent="0.25">
      <c r="A639" t="s">
        <v>130</v>
      </c>
      <c r="B639" s="16">
        <v>1271538</v>
      </c>
      <c r="C639" t="s">
        <v>66</v>
      </c>
      <c r="D639" t="s">
        <v>67</v>
      </c>
      <c r="E639" t="s">
        <v>68</v>
      </c>
      <c r="F639">
        <v>1</v>
      </c>
      <c r="G639">
        <v>1</v>
      </c>
      <c r="H639">
        <v>5</v>
      </c>
      <c r="I639" s="6">
        <v>320101001</v>
      </c>
      <c r="J639" t="s">
        <v>72</v>
      </c>
      <c r="K639">
        <f>18560173/1000</f>
        <v>18560.172999999999</v>
      </c>
    </row>
    <row r="640" spans="1:11" x14ac:dyDescent="0.25">
      <c r="A640" t="s">
        <v>130</v>
      </c>
      <c r="B640" s="16">
        <v>1271538</v>
      </c>
      <c r="C640" t="s">
        <v>66</v>
      </c>
      <c r="D640" t="s">
        <v>67</v>
      </c>
      <c r="E640" t="s">
        <v>68</v>
      </c>
      <c r="F640">
        <v>1</v>
      </c>
      <c r="G640">
        <v>1</v>
      </c>
      <c r="H640">
        <v>5</v>
      </c>
      <c r="I640" s="6">
        <v>420105001</v>
      </c>
      <c r="J640" t="s">
        <v>71</v>
      </c>
      <c r="K640">
        <f>9627755/1000</f>
        <v>9627.7549999999992</v>
      </c>
    </row>
    <row r="641" spans="1:11" x14ac:dyDescent="0.25">
      <c r="A641" t="s">
        <v>130</v>
      </c>
      <c r="B641" s="16">
        <v>1271538</v>
      </c>
      <c r="C641" t="s">
        <v>66</v>
      </c>
      <c r="D641" t="s">
        <v>67</v>
      </c>
      <c r="E641" t="s">
        <v>68</v>
      </c>
      <c r="F641">
        <v>2</v>
      </c>
      <c r="G641">
        <v>1</v>
      </c>
      <c r="H641">
        <v>1</v>
      </c>
      <c r="I641" s="6">
        <v>420201001</v>
      </c>
      <c r="J641" t="s">
        <v>70</v>
      </c>
      <c r="K641">
        <f>4311826/1000</f>
        <v>4311.826</v>
      </c>
    </row>
    <row r="642" spans="1:11" x14ac:dyDescent="0.25">
      <c r="A642" t="s">
        <v>130</v>
      </c>
      <c r="B642" s="16">
        <v>1271538</v>
      </c>
      <c r="C642" t="s">
        <v>66</v>
      </c>
      <c r="D642" t="s">
        <v>67</v>
      </c>
      <c r="E642" t="s">
        <v>68</v>
      </c>
      <c r="F642">
        <v>2</v>
      </c>
      <c r="G642">
        <v>1</v>
      </c>
      <c r="H642">
        <v>5</v>
      </c>
      <c r="I642" s="6">
        <v>420102004</v>
      </c>
      <c r="J642" t="s">
        <v>76</v>
      </c>
      <c r="K642">
        <f>2409272/1000</f>
        <v>2409.2719999999999</v>
      </c>
    </row>
    <row r="643" spans="1:11" x14ac:dyDescent="0.25">
      <c r="A643" t="s">
        <v>130</v>
      </c>
      <c r="B643" s="16">
        <v>1271538</v>
      </c>
      <c r="C643" t="s">
        <v>66</v>
      </c>
      <c r="D643" t="s">
        <v>67</v>
      </c>
      <c r="E643" t="s">
        <v>68</v>
      </c>
      <c r="F643">
        <v>2</v>
      </c>
      <c r="G643">
        <v>1</v>
      </c>
      <c r="H643">
        <v>5</v>
      </c>
      <c r="I643" s="6">
        <v>320101001</v>
      </c>
      <c r="J643" t="s">
        <v>72</v>
      </c>
      <c r="K643">
        <f>4930072/1000</f>
        <v>4930.0720000000001</v>
      </c>
    </row>
    <row r="644" spans="1:11" x14ac:dyDescent="0.25">
      <c r="A644" t="s">
        <v>130</v>
      </c>
      <c r="B644" s="16">
        <v>1271538</v>
      </c>
      <c r="C644" t="s">
        <v>66</v>
      </c>
      <c r="D644" t="s">
        <v>67</v>
      </c>
      <c r="E644" t="s">
        <v>68</v>
      </c>
      <c r="F644">
        <v>2</v>
      </c>
      <c r="G644">
        <v>1</v>
      </c>
      <c r="H644">
        <v>5</v>
      </c>
      <c r="I644" s="6">
        <v>420105001</v>
      </c>
      <c r="J644" t="s">
        <v>71</v>
      </c>
      <c r="K644">
        <f>12339993/1000</f>
        <v>12339.993</v>
      </c>
    </row>
    <row r="645" spans="1:11" x14ac:dyDescent="0.25">
      <c r="A645" t="s">
        <v>131</v>
      </c>
      <c r="B645" s="16">
        <v>1271538</v>
      </c>
      <c r="C645" t="s">
        <v>66</v>
      </c>
      <c r="D645" t="s">
        <v>67</v>
      </c>
      <c r="E645" t="s">
        <v>68</v>
      </c>
      <c r="F645">
        <v>1</v>
      </c>
      <c r="G645">
        <v>1</v>
      </c>
      <c r="H645">
        <v>4</v>
      </c>
      <c r="I645" s="6">
        <v>420102004</v>
      </c>
      <c r="J645" t="s">
        <v>76</v>
      </c>
      <c r="K645">
        <f>1430866/1000</f>
        <v>1430.866</v>
      </c>
    </row>
    <row r="646" spans="1:11" x14ac:dyDescent="0.25">
      <c r="A646" t="s">
        <v>131</v>
      </c>
      <c r="B646" s="16">
        <v>1271538</v>
      </c>
      <c r="C646" t="s">
        <v>66</v>
      </c>
      <c r="D646" t="s">
        <v>67</v>
      </c>
      <c r="E646" t="s">
        <v>68</v>
      </c>
      <c r="F646">
        <v>1</v>
      </c>
      <c r="G646">
        <v>1</v>
      </c>
      <c r="H646">
        <v>5</v>
      </c>
      <c r="I646" s="6">
        <v>420201001</v>
      </c>
      <c r="J646" t="s">
        <v>70</v>
      </c>
      <c r="K646">
        <f>6021178/1000</f>
        <v>6021.1779999999999</v>
      </c>
    </row>
    <row r="647" spans="1:11" x14ac:dyDescent="0.25">
      <c r="A647" t="s">
        <v>131</v>
      </c>
      <c r="B647" s="16">
        <v>1271538</v>
      </c>
      <c r="C647" t="s">
        <v>66</v>
      </c>
      <c r="D647" t="s">
        <v>67</v>
      </c>
      <c r="E647" t="s">
        <v>68</v>
      </c>
      <c r="F647">
        <v>1</v>
      </c>
      <c r="G647">
        <v>1</v>
      </c>
      <c r="H647">
        <v>5</v>
      </c>
      <c r="I647" s="6">
        <v>420102004</v>
      </c>
      <c r="J647" t="s">
        <v>76</v>
      </c>
      <c r="K647">
        <f>438875/1000</f>
        <v>438.875</v>
      </c>
    </row>
    <row r="648" spans="1:11" x14ac:dyDescent="0.25">
      <c r="A648" t="s">
        <v>131</v>
      </c>
      <c r="B648" s="16">
        <v>1271538</v>
      </c>
      <c r="C648" t="s">
        <v>66</v>
      </c>
      <c r="D648" t="s">
        <v>67</v>
      </c>
      <c r="E648" t="s">
        <v>68</v>
      </c>
      <c r="F648">
        <v>1</v>
      </c>
      <c r="G648">
        <v>1</v>
      </c>
      <c r="H648">
        <v>5</v>
      </c>
      <c r="I648" s="6">
        <v>320101001</v>
      </c>
      <c r="J648" t="s">
        <v>72</v>
      </c>
      <c r="K648">
        <f>8171096/1000</f>
        <v>8171.0959999999995</v>
      </c>
    </row>
    <row r="649" spans="1:11" x14ac:dyDescent="0.25">
      <c r="A649" t="s">
        <v>131</v>
      </c>
      <c r="B649" s="16">
        <v>1271538</v>
      </c>
      <c r="C649" t="s">
        <v>66</v>
      </c>
      <c r="D649" t="s">
        <v>67</v>
      </c>
      <c r="E649" t="s">
        <v>68</v>
      </c>
      <c r="F649">
        <v>1</v>
      </c>
      <c r="G649">
        <v>1</v>
      </c>
      <c r="H649">
        <v>5</v>
      </c>
      <c r="I649" s="6">
        <v>420105001</v>
      </c>
      <c r="J649" t="s">
        <v>71</v>
      </c>
      <c r="K649">
        <f>12929178/1000</f>
        <v>12929.178</v>
      </c>
    </row>
    <row r="650" spans="1:11" x14ac:dyDescent="0.25">
      <c r="A650" t="s">
        <v>131</v>
      </c>
      <c r="B650" s="16">
        <v>1271538</v>
      </c>
      <c r="C650" t="s">
        <v>66</v>
      </c>
      <c r="D650" t="s">
        <v>67</v>
      </c>
      <c r="E650" t="s">
        <v>68</v>
      </c>
      <c r="F650">
        <v>2</v>
      </c>
      <c r="G650">
        <v>1</v>
      </c>
      <c r="H650">
        <v>1</v>
      </c>
      <c r="I650" s="6">
        <v>420201001</v>
      </c>
      <c r="J650" t="s">
        <v>70</v>
      </c>
      <c r="K650">
        <f>6084319/1000</f>
        <v>6084.3190000000004</v>
      </c>
    </row>
    <row r="651" spans="1:11" x14ac:dyDescent="0.25">
      <c r="A651" t="s">
        <v>131</v>
      </c>
      <c r="B651" s="16">
        <v>1271538</v>
      </c>
      <c r="C651" t="s">
        <v>66</v>
      </c>
      <c r="D651" t="s">
        <v>67</v>
      </c>
      <c r="E651" t="s">
        <v>68</v>
      </c>
      <c r="F651">
        <v>2</v>
      </c>
      <c r="G651">
        <v>1</v>
      </c>
      <c r="H651">
        <v>5</v>
      </c>
      <c r="I651" s="6">
        <v>420102004</v>
      </c>
      <c r="J651" t="s">
        <v>76</v>
      </c>
      <c r="K651">
        <f>577957/1000</f>
        <v>577.95699999999999</v>
      </c>
    </row>
    <row r="652" spans="1:11" x14ac:dyDescent="0.25">
      <c r="A652" t="s">
        <v>131</v>
      </c>
      <c r="B652" s="16">
        <v>1271538</v>
      </c>
      <c r="C652" t="s">
        <v>66</v>
      </c>
      <c r="D652" t="s">
        <v>67</v>
      </c>
      <c r="E652" t="s">
        <v>68</v>
      </c>
      <c r="F652">
        <v>2</v>
      </c>
      <c r="G652">
        <v>1</v>
      </c>
      <c r="H652">
        <v>5</v>
      </c>
      <c r="I652" s="6">
        <v>320101001</v>
      </c>
      <c r="J652" t="s">
        <v>72</v>
      </c>
      <c r="K652">
        <f>16406646/1000</f>
        <v>16406.646000000001</v>
      </c>
    </row>
    <row r="653" spans="1:11" x14ac:dyDescent="0.25">
      <c r="A653" t="s">
        <v>131</v>
      </c>
      <c r="B653" s="16">
        <v>1271538</v>
      </c>
      <c r="C653" t="s">
        <v>66</v>
      </c>
      <c r="D653" t="s">
        <v>67</v>
      </c>
      <c r="E653" t="s">
        <v>68</v>
      </c>
      <c r="F653">
        <v>2</v>
      </c>
      <c r="G653">
        <v>1</v>
      </c>
      <c r="H653">
        <v>5</v>
      </c>
      <c r="I653" s="6">
        <v>420105001</v>
      </c>
      <c r="J653" t="s">
        <v>71</v>
      </c>
      <c r="K653">
        <f>9820037/1000</f>
        <v>9820.0370000000003</v>
      </c>
    </row>
  </sheetData>
  <mergeCells count="2">
    <mergeCell ref="E1:F1"/>
    <mergeCell ref="E2:F2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AD6B524EEEC4BAA51BCC58BE57588" ma:contentTypeVersion="19" ma:contentTypeDescription="Create a new document." ma:contentTypeScope="" ma:versionID="ccb8208b08c299b6ff92d413b3e51d8a">
  <xsd:schema xmlns:xsd="http://www.w3.org/2001/XMLSchema" xmlns:xs="http://www.w3.org/2001/XMLSchema" xmlns:p="http://schemas.microsoft.com/office/2006/metadata/properties" xmlns:ns1="http://schemas.microsoft.com/sharepoint/v3" xmlns:ns2="263b76eb-076a-43de-9c2a-dfcca6b436d1" xmlns:ns3="4f03e862-ba49-4201-828b-632377d64776" targetNamespace="http://schemas.microsoft.com/office/2006/metadata/properties" ma:root="true" ma:fieldsID="179f194752514ded98fd476d8c28140b" ns1:_="" ns2:_="" ns3:_="">
    <xsd:import namespace="http://schemas.microsoft.com/sharepoint/v3"/>
    <xsd:import namespace="263b76eb-076a-43de-9c2a-dfcca6b436d1"/>
    <xsd:import namespace="4f03e862-ba49-4201-828b-632377d647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b76eb-076a-43de-9c2a-dfcca6b436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675d646-2160-4835-ae63-a6df056db8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03e862-ba49-4201-828b-632377d6477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1028063-e5df-46e3-8860-780f11f177e5}" ma:internalName="TaxCatchAll" ma:showField="CatchAllData" ma:web="4f03e862-ba49-4201-828b-632377d647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263b76eb-076a-43de-9c2a-dfcca6b436d1">
      <Terms xmlns="http://schemas.microsoft.com/office/infopath/2007/PartnerControls"/>
    </lcf76f155ced4ddcb4097134ff3c332f>
    <TaxCatchAll xmlns="4f03e862-ba49-4201-828b-632377d6477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ADB052-5292-4FA2-8B54-EA8D159009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63b76eb-076a-43de-9c2a-dfcca6b436d1"/>
    <ds:schemaRef ds:uri="4f03e862-ba49-4201-828b-632377d647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953600-5076-4FB0-B994-C7A63AE4A79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63b76eb-076a-43de-9c2a-dfcca6b436d1"/>
    <ds:schemaRef ds:uri="4f03e862-ba49-4201-828b-632377d64776"/>
  </ds:schemaRefs>
</ds:datastoreItem>
</file>

<file path=customXml/itemProps3.xml><?xml version="1.0" encoding="utf-8"?>
<ds:datastoreItem xmlns:ds="http://schemas.openxmlformats.org/officeDocument/2006/customXml" ds:itemID="{BD1CC8C4-ECD7-4DB8-845C-A046D08707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Metadados</vt:lpstr>
      <vt:lpstr>Dados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Almir Beserra dos Santos</dc:creator>
  <cp:keywords/>
  <dc:description/>
  <cp:lastModifiedBy>Daniele Mourão</cp:lastModifiedBy>
  <cp:revision/>
  <dcterms:created xsi:type="dcterms:W3CDTF">2023-10-19T18:10:43Z</dcterms:created>
  <dcterms:modified xsi:type="dcterms:W3CDTF">2026-06-09T16:38:17Z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0x010100600AD6B524EEEC4BAA51BCC58BE57588</vt:lpwstr>
  </property>
  <property fmtid="{D5CDD505-2E9C-101B-9397-08002B2CF9AE}" pid="3" name="MediaServiceImageTags">
    <vt:lpwstr/>
  </property>
</Properties>
</file>